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5.verw.tu-dresden.de\EPC-allgemein$\0_Work General\Strukturfonds Sachsen neu\02_Projekte\02_Antrag\0_ESF+ Gemeinsame Dokumente\01_Kalkulation\"/>
    </mc:Choice>
  </mc:AlternateContent>
  <xr:revisionPtr revIDLastSave="0" documentId="13_ncr:1_{8C5B0446-20DD-421E-8AD5-CCD7CDAF71FA}" xr6:coauthVersionLast="36" xr6:coauthVersionMax="36" xr10:uidLastSave="{00000000-0000-0000-0000-000000000000}"/>
  <bookViews>
    <workbookView xWindow="0" yWindow="0" windowWidth="24000" windowHeight="9525" xr2:uid="{39172BC0-E959-4143-B862-EA3CAC40CEF9}"/>
  </bookViews>
  <sheets>
    <sheet name="Tabelle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F6" i="1" l="1"/>
  <c r="F5" i="1"/>
  <c r="E10" i="1"/>
  <c r="E12" i="1" s="1"/>
  <c r="F12" i="1" s="1"/>
  <c r="E14" i="1" l="1"/>
  <c r="F10" i="1"/>
  <c r="F15" i="1" s="1"/>
  <c r="H52" i="1"/>
  <c r="F53" i="1"/>
  <c r="F55" i="1"/>
  <c r="G55" i="1"/>
  <c r="H55" i="1"/>
  <c r="H54" i="1"/>
  <c r="G54" i="1"/>
  <c r="F54" i="1"/>
  <c r="H53" i="1"/>
  <c r="G53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F39" i="1"/>
  <c r="G39" i="1"/>
  <c r="H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F29" i="1"/>
  <c r="G29" i="1"/>
  <c r="H29" i="1"/>
  <c r="H28" i="1"/>
  <c r="G28" i="1"/>
  <c r="F28" i="1"/>
  <c r="H27" i="1"/>
  <c r="G27" i="1"/>
  <c r="F27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E8" i="1" l="1"/>
  <c r="E11" i="1" l="1"/>
  <c r="F11" i="1" s="1"/>
  <c r="B8" i="1" l="1"/>
  <c r="B10" i="1"/>
  <c r="B11" i="1"/>
  <c r="B12" i="1"/>
  <c r="B14" i="1"/>
  <c r="B15" i="1"/>
</calcChain>
</file>

<file path=xl/sharedStrings.xml><?xml version="1.0" encoding="utf-8"?>
<sst xmlns="http://schemas.openxmlformats.org/spreadsheetml/2006/main" count="68" uniqueCount="61">
  <si>
    <t>Personalkosten Hilfskräfte</t>
  </si>
  <si>
    <t>Eingruppierung</t>
  </si>
  <si>
    <t>Stellenanteil</t>
  </si>
  <si>
    <t>TV-L 13/1</t>
  </si>
  <si>
    <t>TV-L 13/2</t>
  </si>
  <si>
    <t>TV-L 13/3</t>
  </si>
  <si>
    <t>TV-L 13/4</t>
  </si>
  <si>
    <t>TV-L 13/5</t>
  </si>
  <si>
    <t>TV-L 13/6</t>
  </si>
  <si>
    <t>TV-L 13Ü/1</t>
  </si>
  <si>
    <t>TV-L 13Ü/2</t>
  </si>
  <si>
    <t>TV-L 13Ü/3</t>
  </si>
  <si>
    <t>TV-L 13Ü/4</t>
  </si>
  <si>
    <t>TV-L 13Ü/5</t>
  </si>
  <si>
    <t>TV-L 13Ü/6</t>
  </si>
  <si>
    <t>TV-L 14/1</t>
  </si>
  <si>
    <t>TV-L 14/2</t>
  </si>
  <si>
    <t>TV-L 14/3</t>
  </si>
  <si>
    <t>TV-L 14/4</t>
  </si>
  <si>
    <t>TV-L 14/5</t>
  </si>
  <si>
    <t>TV-L 14/6</t>
  </si>
  <si>
    <t>Stundensätze Hilfskräfte</t>
  </si>
  <si>
    <t>SHK</t>
  </si>
  <si>
    <t>FHK</t>
  </si>
  <si>
    <t>WHK</t>
  </si>
  <si>
    <t>Restkostenpauschale 16%</t>
  </si>
  <si>
    <t>Gesamtausgaben</t>
  </si>
  <si>
    <t>Zuwendung 90%</t>
  </si>
  <si>
    <t>Eigenmittel</t>
  </si>
  <si>
    <t>TV-L Ä1/1</t>
  </si>
  <si>
    <t>TV-L Ä1/2</t>
  </si>
  <si>
    <t>TV-L Ä1/3</t>
  </si>
  <si>
    <t>TV-L Ä1/4</t>
  </si>
  <si>
    <t>TV-L Ä1/5</t>
  </si>
  <si>
    <t>TV-L Ä1/6</t>
  </si>
  <si>
    <t>TV-L Ä2/1</t>
  </si>
  <si>
    <t>TV-L Ä2/2</t>
  </si>
  <si>
    <t>TV-L Ä2/3</t>
  </si>
  <si>
    <t>TV-L Ä2/4</t>
  </si>
  <si>
    <t>TV-L Ä2/5</t>
  </si>
  <si>
    <t>TV-L Ä2/6</t>
  </si>
  <si>
    <t>TV-L Ä3/1</t>
  </si>
  <si>
    <t>TV-L Ä3/2</t>
  </si>
  <si>
    <t>TV-L Ä3/3</t>
  </si>
  <si>
    <t>TV-L Ä4/1</t>
  </si>
  <si>
    <t>TV-L Ä4/2</t>
  </si>
  <si>
    <t>TV-L Ä4/3</t>
  </si>
  <si>
    <t>Monatssatz Stellenförderung</t>
  </si>
  <si>
    <t>Stundensatz gem. FFAK SAB</t>
  </si>
  <si>
    <t>Bearbeitungsfelder</t>
  </si>
  <si>
    <t>Eigenanteil 10% über grundfinanziertes Personal</t>
  </si>
  <si>
    <t>Zuwendung</t>
  </si>
  <si>
    <t>Ausgaben</t>
  </si>
  <si>
    <t>Option 1: Kofinanzierung via grundfinanziertem Personal (Eigenanteil)</t>
  </si>
  <si>
    <t>Option 2: Kofinanzierung mit freien Mitteln (Eigenmittel)</t>
  </si>
  <si>
    <t>davon 60% Verwaltung</t>
  </si>
  <si>
    <t>davon 40 % Projekt</t>
  </si>
  <si>
    <t>Ausgaben bei 860h/Jahr</t>
  </si>
  <si>
    <t>Personalkosten WiMa (Nachwuchsf./Seniorwiss.)</t>
  </si>
  <si>
    <t>Felder zur eigenen Berechnung</t>
  </si>
  <si>
    <t>zulässig sind 860h HK-Stunden pro Jahr pro Nachwuchsforschendem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</si>
</sst>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4" fillId="2" borderId="1" xfId="2" applyFont="1" applyFill="1" applyBorder="1" applyProtection="1">
      <protection hidden="1"/>
    </xf>
    <xf numFmtId="0" fontId="7" fillId="2" borderId="2" xfId="2" applyFont="1" applyFill="1" applyBorder="1" applyProtection="1">
      <protection hidden="1"/>
    </xf>
    <xf numFmtId="0" fontId="7" fillId="2" borderId="1" xfId="2" applyFont="1" applyFill="1" applyBorder="1" applyProtection="1">
      <protection hidden="1"/>
    </xf>
    <xf numFmtId="0" fontId="0" fillId="0" borderId="0" xfId="0" applyProtection="1"/>
    <xf numFmtId="0" fontId="0" fillId="0" borderId="0" xfId="0" applyProtection="1">
      <protection hidden="1"/>
    </xf>
    <xf numFmtId="44" fontId="5" fillId="2" borderId="1" xfId="1" applyFont="1" applyFill="1" applyBorder="1" applyAlignment="1" applyProtection="1">
      <alignment horizontal="center"/>
      <protection hidden="1"/>
    </xf>
    <xf numFmtId="0" fontId="2" fillId="3" borderId="1" xfId="2" applyFont="1" applyFill="1" applyBorder="1" applyProtection="1">
      <protection hidden="1"/>
    </xf>
    <xf numFmtId="0" fontId="5" fillId="3" borderId="1" xfId="2" applyFont="1" applyFill="1" applyBorder="1" applyProtection="1">
      <protection hidden="1"/>
    </xf>
    <xf numFmtId="44" fontId="5" fillId="3" borderId="1" xfId="1" applyFont="1" applyFill="1" applyBorder="1" applyAlignment="1" applyProtection="1">
      <alignment horizontal="center"/>
      <protection hidden="1"/>
    </xf>
    <xf numFmtId="0" fontId="2" fillId="3" borderId="2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44" fontId="5" fillId="3" borderId="2" xfId="1" applyFont="1" applyFill="1" applyBorder="1" applyAlignment="1" applyProtection="1">
      <alignment horizontal="center"/>
      <protection hidden="1"/>
    </xf>
    <xf numFmtId="0" fontId="4" fillId="2" borderId="6" xfId="2" applyFont="1" applyFill="1" applyBorder="1" applyProtection="1">
      <protection hidden="1"/>
    </xf>
    <xf numFmtId="1" fontId="4" fillId="2" borderId="7" xfId="2" applyNumberFormat="1" applyFont="1" applyFill="1" applyBorder="1" applyAlignment="1" applyProtection="1">
      <alignment horizontal="center"/>
      <protection hidden="1"/>
    </xf>
    <xf numFmtId="1" fontId="4" fillId="2" borderId="8" xfId="2" applyNumberFormat="1" applyFont="1" applyFill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0" fontId="4" fillId="2" borderId="9" xfId="2" applyFont="1" applyFill="1" applyBorder="1" applyAlignment="1" applyProtection="1">
      <alignment horizontal="center"/>
      <protection hidden="1"/>
    </xf>
    <xf numFmtId="1" fontId="4" fillId="2" borderId="6" xfId="2" applyNumberFormat="1" applyFont="1" applyFill="1" applyBorder="1" applyAlignment="1" applyProtection="1">
      <alignment horizontal="center"/>
      <protection hidden="1"/>
    </xf>
    <xf numFmtId="0" fontId="4" fillId="2" borderId="11" xfId="2" applyFont="1" applyFill="1" applyBorder="1" applyProtection="1">
      <protection hidden="1"/>
    </xf>
    <xf numFmtId="0" fontId="4" fillId="2" borderId="12" xfId="2" applyFont="1" applyFill="1" applyBorder="1" applyProtection="1">
      <protection hidden="1"/>
    </xf>
    <xf numFmtId="0" fontId="4" fillId="2" borderId="13" xfId="2" applyFont="1" applyFill="1" applyBorder="1" applyProtection="1">
      <protection hidden="1"/>
    </xf>
    <xf numFmtId="0" fontId="0" fillId="2" borderId="0" xfId="0" applyFill="1" applyProtection="1">
      <protection hidden="1"/>
    </xf>
    <xf numFmtId="0" fontId="2" fillId="3" borderId="14" xfId="2" applyFont="1" applyFill="1" applyBorder="1" applyProtection="1">
      <protection hidden="1"/>
    </xf>
    <xf numFmtId="44" fontId="2" fillId="3" borderId="15" xfId="1" applyFont="1" applyFill="1" applyBorder="1" applyProtection="1">
      <protection hidden="1"/>
    </xf>
    <xf numFmtId="0" fontId="2" fillId="3" borderId="16" xfId="2" applyFont="1" applyFill="1" applyBorder="1" applyProtection="1">
      <protection hidden="1"/>
    </xf>
    <xf numFmtId="44" fontId="2" fillId="3" borderId="17" xfId="1" applyFont="1" applyFill="1" applyBorder="1" applyProtection="1">
      <protection hidden="1"/>
    </xf>
    <xf numFmtId="0" fontId="2" fillId="3" borderId="6" xfId="2" applyFont="1" applyFill="1" applyBorder="1" applyProtection="1">
      <protection hidden="1"/>
    </xf>
    <xf numFmtId="0" fontId="2" fillId="3" borderId="7" xfId="2" applyFont="1" applyFill="1" applyBorder="1" applyProtection="1">
      <protection hidden="1"/>
    </xf>
    <xf numFmtId="44" fontId="2" fillId="3" borderId="8" xfId="1" applyFont="1" applyFill="1" applyBorder="1" applyProtection="1">
      <protection hidden="1"/>
    </xf>
    <xf numFmtId="0" fontId="8" fillId="4" borderId="0" xfId="0" applyFont="1" applyFill="1" applyProtection="1"/>
    <xf numFmtId="0" fontId="9" fillId="4" borderId="0" xfId="0" applyFont="1" applyFill="1" applyProtection="1"/>
    <xf numFmtId="44" fontId="5" fillId="3" borderId="1" xfId="1" applyFont="1" applyFill="1" applyBorder="1" applyProtection="1">
      <protection hidden="1"/>
    </xf>
    <xf numFmtId="44" fontId="6" fillId="3" borderId="1" xfId="1" applyFont="1" applyFill="1" applyBorder="1" applyProtection="1">
      <protection hidden="1"/>
    </xf>
    <xf numFmtId="9" fontId="5" fillId="5" borderId="2" xfId="2" applyNumberFormat="1" applyFont="1" applyFill="1" applyBorder="1" applyAlignment="1" applyProtection="1">
      <alignment horizontal="center"/>
      <protection locked="0"/>
    </xf>
    <xf numFmtId="9" fontId="5" fillId="5" borderId="1" xfId="2" applyNumberFormat="1" applyFont="1" applyFill="1" applyBorder="1" applyAlignment="1" applyProtection="1">
      <alignment horizontal="center"/>
      <protection locked="0"/>
    </xf>
    <xf numFmtId="44" fontId="5" fillId="5" borderId="1" xfId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18" xfId="0" applyBorder="1"/>
    <xf numFmtId="44" fontId="5" fillId="2" borderId="1" xfId="1" applyFont="1" applyFill="1" applyBorder="1" applyProtection="1">
      <protection hidden="1"/>
    </xf>
    <xf numFmtId="44" fontId="6" fillId="2" borderId="1" xfId="1" applyFont="1" applyFill="1" applyBorder="1" applyProtection="1">
      <protection hidden="1"/>
    </xf>
    <xf numFmtId="44" fontId="0" fillId="0" borderId="1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44" fontId="10" fillId="0" borderId="1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0" fillId="6" borderId="1" xfId="0" applyFill="1" applyBorder="1" applyProtection="1">
      <protection locked="0"/>
    </xf>
    <xf numFmtId="0" fontId="11" fillId="6" borderId="0" xfId="0" applyFont="1" applyFill="1"/>
    <xf numFmtId="44" fontId="0" fillId="6" borderId="1" xfId="0" applyNumberFormat="1" applyFill="1" applyBorder="1" applyProtection="1">
      <protection locked="0"/>
    </xf>
  </cellXfs>
  <cellStyles count="3">
    <cellStyle name="Standard" xfId="0" builtinId="0"/>
    <cellStyle name="Standard 2 2" xfId="2" xr:uid="{2FEA89BA-AE03-435C-A500-64B98B2EA453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1B1F-4FAE-4D7A-8C9F-AB24110ACC73}">
  <dimension ref="A1:L56"/>
  <sheetViews>
    <sheetView tabSelected="1" zoomScale="85" zoomScaleNormal="85" workbookViewId="0">
      <pane ySplit="1" topLeftCell="A23" activePane="bottomLeft" state="frozen"/>
      <selection pane="bottomLeft" activeCell="C34" sqref="C34"/>
    </sheetView>
  </sheetViews>
  <sheetFormatPr baseColWidth="10" defaultRowHeight="15" x14ac:dyDescent="0.25"/>
  <cols>
    <col min="1" max="1" width="46.28515625" customWidth="1"/>
    <col min="2" max="2" width="38.140625" customWidth="1"/>
    <col min="3" max="3" width="30.42578125" bestFit="1" customWidth="1"/>
    <col min="4" max="4" width="46.140625" customWidth="1"/>
    <col min="5" max="5" width="15.7109375" bestFit="1" customWidth="1"/>
    <col min="6" max="6" width="17.7109375" customWidth="1"/>
    <col min="7" max="7" width="13.28515625" bestFit="1" customWidth="1"/>
    <col min="8" max="8" width="12.85546875" bestFit="1" customWidth="1"/>
    <col min="9" max="9" width="28.42578125" bestFit="1" customWidth="1"/>
    <col min="10" max="10" width="31.85546875" bestFit="1" customWidth="1"/>
    <col min="13" max="13" width="15.7109375" bestFit="1" customWidth="1"/>
    <col min="14" max="14" width="12.7109375" bestFit="1" customWidth="1"/>
    <col min="15" max="17" width="13.28515625" bestFit="1" customWidth="1"/>
  </cols>
  <sheetData>
    <row r="1" spans="1:10" ht="15.75" x14ac:dyDescent="0.25">
      <c r="A1" s="50" t="s">
        <v>49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75" x14ac:dyDescent="0.3">
      <c r="A3" s="30" t="s">
        <v>53</v>
      </c>
      <c r="B3" s="31"/>
      <c r="C3" s="4"/>
      <c r="D3" s="30" t="s">
        <v>54</v>
      </c>
      <c r="E3" s="31"/>
      <c r="F3" s="31"/>
      <c r="H3" s="4"/>
      <c r="I3" s="4"/>
      <c r="J3" s="4"/>
    </row>
    <row r="4" spans="1:10" x14ac:dyDescent="0.25">
      <c r="A4" s="4"/>
      <c r="B4" s="4"/>
      <c r="C4" s="4"/>
      <c r="D4" s="40"/>
      <c r="E4" s="41" t="s">
        <v>52</v>
      </c>
      <c r="F4" s="42" t="s">
        <v>51</v>
      </c>
      <c r="H4" s="4"/>
      <c r="I4" s="4"/>
      <c r="J4" s="4"/>
    </row>
    <row r="5" spans="1:10" ht="15.75" x14ac:dyDescent="0.25">
      <c r="A5" s="1" t="s">
        <v>58</v>
      </c>
      <c r="B5" s="36">
        <v>0</v>
      </c>
      <c r="D5" s="1" t="s">
        <v>58</v>
      </c>
      <c r="E5" s="36">
        <v>0</v>
      </c>
      <c r="F5" s="46">
        <f>E5*0.9</f>
        <v>0</v>
      </c>
    </row>
    <row r="6" spans="1:10" ht="15.75" x14ac:dyDescent="0.25">
      <c r="A6" s="1" t="s">
        <v>0</v>
      </c>
      <c r="B6" s="36">
        <v>0</v>
      </c>
      <c r="D6" s="1" t="s">
        <v>0</v>
      </c>
      <c r="E6" s="36">
        <v>0</v>
      </c>
      <c r="F6" s="46">
        <f>E6*0.9</f>
        <v>0</v>
      </c>
    </row>
    <row r="7" spans="1:10" ht="15.75" x14ac:dyDescent="0.25">
      <c r="A7" s="1"/>
      <c r="B7" s="32"/>
      <c r="D7" s="1"/>
      <c r="E7" s="44"/>
      <c r="F7" s="47"/>
    </row>
    <row r="8" spans="1:10" ht="15.75" x14ac:dyDescent="0.25">
      <c r="A8" s="1" t="s">
        <v>50</v>
      </c>
      <c r="B8" s="32">
        <f ca="1">SUM(B5:B6,B10)/0.9*0.1</f>
        <v>3.547087742165608E-48</v>
      </c>
      <c r="D8" s="1" t="s">
        <v>28</v>
      </c>
      <c r="E8" s="44">
        <f>E14*0.1</f>
        <v>0</v>
      </c>
      <c r="F8" s="46"/>
    </row>
    <row r="9" spans="1:10" ht="15.75" x14ac:dyDescent="0.25">
      <c r="A9" s="1"/>
      <c r="B9" s="32"/>
      <c r="D9" s="1"/>
      <c r="E9" s="44"/>
      <c r="F9" s="47"/>
    </row>
    <row r="10" spans="1:10" ht="15.75" x14ac:dyDescent="0.25">
      <c r="A10" s="1" t="s">
        <v>25</v>
      </c>
      <c r="B10" s="32">
        <f ca="1">SUM(B5:B8)*0.16</f>
        <v>5.6753403874649731E-49</v>
      </c>
      <c r="D10" s="1" t="s">
        <v>25</v>
      </c>
      <c r="E10" s="44">
        <f>SUM(E5:E6)*0.16</f>
        <v>0</v>
      </c>
      <c r="F10" s="46">
        <f>E10*0.9</f>
        <v>0</v>
      </c>
    </row>
    <row r="11" spans="1:10" ht="15.75" x14ac:dyDescent="0.25">
      <c r="A11" s="1" t="s">
        <v>55</v>
      </c>
      <c r="B11" s="32">
        <f ca="1">B10*0.6</f>
        <v>3.4052042324789838E-49</v>
      </c>
      <c r="D11" s="1" t="s">
        <v>55</v>
      </c>
      <c r="E11" s="44">
        <f>E10*0.6</f>
        <v>0</v>
      </c>
      <c r="F11" s="46">
        <f>E11*0.9</f>
        <v>0</v>
      </c>
    </row>
    <row r="12" spans="1:10" ht="15.75" x14ac:dyDescent="0.25">
      <c r="A12" s="1" t="s">
        <v>56</v>
      </c>
      <c r="B12" s="32">
        <f ca="1">B10*0.4</f>
        <v>2.2701361549859892E-49</v>
      </c>
      <c r="D12" s="1" t="s">
        <v>56</v>
      </c>
      <c r="E12" s="44">
        <f>E10*0.4</f>
        <v>0</v>
      </c>
      <c r="F12" s="46">
        <f>E12*0.9</f>
        <v>0</v>
      </c>
    </row>
    <row r="13" spans="1:10" ht="15.75" x14ac:dyDescent="0.25">
      <c r="A13" s="1"/>
      <c r="B13" s="32"/>
      <c r="D13" s="1"/>
      <c r="E13" s="44"/>
      <c r="F13" s="47"/>
    </row>
    <row r="14" spans="1:10" ht="18" x14ac:dyDescent="0.4">
      <c r="A14" s="1" t="s">
        <v>26</v>
      </c>
      <c r="B14" s="33">
        <f ca="1">SUM(B5:B10)</f>
        <v>4.1146217809121051E-48</v>
      </c>
      <c r="D14" s="1" t="s">
        <v>26</v>
      </c>
      <c r="E14" s="45">
        <f>SUM(E5:E6,E10)</f>
        <v>0</v>
      </c>
      <c r="F14" s="46"/>
    </row>
    <row r="15" spans="1:10" ht="18" x14ac:dyDescent="0.4">
      <c r="A15" s="1" t="s">
        <v>27</v>
      </c>
      <c r="B15" s="33">
        <f ca="1">B14*0.9</f>
        <v>3.703159602820895E-48</v>
      </c>
      <c r="D15" s="1" t="s">
        <v>27</v>
      </c>
      <c r="E15" s="44"/>
      <c r="F15" s="48">
        <f>SUM(F5:F10)</f>
        <v>0</v>
      </c>
    </row>
    <row r="17" spans="1:12" ht="15.75" thickBot="1" x14ac:dyDescent="0.3"/>
    <row r="18" spans="1:12" ht="16.5" thickBot="1" x14ac:dyDescent="0.3">
      <c r="A18" s="19" t="s">
        <v>21</v>
      </c>
      <c r="B18" s="20" t="s">
        <v>48</v>
      </c>
      <c r="C18" s="21" t="s">
        <v>57</v>
      </c>
      <c r="D18" s="16"/>
      <c r="E18" s="16"/>
      <c r="F18" s="37" t="s">
        <v>47</v>
      </c>
      <c r="G18" s="38"/>
      <c r="H18" s="39"/>
    </row>
    <row r="19" spans="1:12" ht="16.5" thickBot="1" x14ac:dyDescent="0.3">
      <c r="A19" s="23" t="s">
        <v>22</v>
      </c>
      <c r="B19" s="10">
        <v>17.489999999999998</v>
      </c>
      <c r="C19" s="24">
        <f>B19*860</f>
        <v>15041.399999999998</v>
      </c>
      <c r="D19" s="13" t="s">
        <v>1</v>
      </c>
      <c r="E19" s="17" t="s">
        <v>2</v>
      </c>
      <c r="F19" s="18">
        <v>2024</v>
      </c>
      <c r="G19" s="14">
        <v>2025</v>
      </c>
      <c r="H19" s="15">
        <v>2026</v>
      </c>
      <c r="J19" s="5"/>
      <c r="L19" s="43"/>
    </row>
    <row r="20" spans="1:12" x14ac:dyDescent="0.25">
      <c r="A20" s="25" t="s">
        <v>23</v>
      </c>
      <c r="B20" s="7">
        <v>18.54</v>
      </c>
      <c r="C20" s="26">
        <f>B20*860</f>
        <v>15944.4</v>
      </c>
      <c r="D20" s="11" t="s">
        <v>3</v>
      </c>
      <c r="E20" s="34">
        <v>1</v>
      </c>
      <c r="F20" s="12">
        <f>5618.76*E20</f>
        <v>5618.76</v>
      </c>
      <c r="G20" s="12">
        <f>5899.71*E20</f>
        <v>5899.71</v>
      </c>
      <c r="H20" s="12">
        <f>6194.69*E20</f>
        <v>6194.69</v>
      </c>
    </row>
    <row r="21" spans="1:12" ht="15.75" thickBot="1" x14ac:dyDescent="0.3">
      <c r="A21" s="27" t="s">
        <v>24</v>
      </c>
      <c r="B21" s="28">
        <v>25.18</v>
      </c>
      <c r="C21" s="29">
        <f>B21*860</f>
        <v>21654.799999999999</v>
      </c>
      <c r="D21" s="8" t="s">
        <v>4</v>
      </c>
      <c r="E21" s="35">
        <v>1</v>
      </c>
      <c r="F21" s="9">
        <f>6047.64*E21</f>
        <v>6047.64</v>
      </c>
      <c r="G21" s="9">
        <f>6350.02*E21</f>
        <v>6350.02</v>
      </c>
      <c r="H21" s="9">
        <f>6667.52*E21</f>
        <v>6667.52</v>
      </c>
    </row>
    <row r="22" spans="1:12" x14ac:dyDescent="0.25">
      <c r="A22" s="5"/>
      <c r="B22" s="5"/>
      <c r="C22" s="5"/>
      <c r="D22" s="8" t="s">
        <v>5</v>
      </c>
      <c r="E22" s="35">
        <v>1</v>
      </c>
      <c r="F22" s="9">
        <f>6370.23*E22</f>
        <v>6370.23</v>
      </c>
      <c r="G22" s="9">
        <f>6688.74*E22</f>
        <v>6688.74</v>
      </c>
      <c r="H22" s="9">
        <f>7023.18*E22</f>
        <v>7023.18</v>
      </c>
    </row>
    <row r="23" spans="1:12" ht="15.75" x14ac:dyDescent="0.25">
      <c r="A23" s="49" t="s">
        <v>60</v>
      </c>
      <c r="B23" s="22"/>
      <c r="C23" s="22"/>
      <c r="D23" s="8" t="s">
        <v>6</v>
      </c>
      <c r="E23" s="35">
        <v>1</v>
      </c>
      <c r="F23" s="9">
        <f>6996.96*E23</f>
        <v>6996.96</v>
      </c>
      <c r="G23" s="9">
        <f>7346.81*E23</f>
        <v>7346.81</v>
      </c>
      <c r="H23" s="9">
        <f>7714.15*E23</f>
        <v>7714.15</v>
      </c>
    </row>
    <row r="24" spans="1:12" x14ac:dyDescent="0.25">
      <c r="D24" s="8" t="s">
        <v>7</v>
      </c>
      <c r="E24" s="35">
        <v>1</v>
      </c>
      <c r="F24" s="9">
        <f>7863.32*E24</f>
        <v>7863.32</v>
      </c>
      <c r="G24" s="9">
        <f>8256.49*E24</f>
        <v>8256.49</v>
      </c>
      <c r="H24" s="9">
        <f>8669.31*E24</f>
        <v>8669.31</v>
      </c>
    </row>
    <row r="25" spans="1:12" ht="21" x14ac:dyDescent="0.35">
      <c r="A25" s="52" t="s">
        <v>59</v>
      </c>
      <c r="D25" s="8" t="s">
        <v>8</v>
      </c>
      <c r="E25" s="35">
        <v>1</v>
      </c>
      <c r="F25" s="9">
        <f>8099.23*E25</f>
        <v>8099.23</v>
      </c>
      <c r="G25" s="9">
        <f>8504.19*E25</f>
        <v>8504.19</v>
      </c>
      <c r="H25" s="9">
        <f>8929.4*E25</f>
        <v>8929.4</v>
      </c>
    </row>
    <row r="26" spans="1:12" x14ac:dyDescent="0.25">
      <c r="A26" s="51"/>
      <c r="B26" s="51"/>
      <c r="C26" s="51"/>
      <c r="D26" s="8" t="s">
        <v>9</v>
      </c>
      <c r="E26" s="35">
        <v>1</v>
      </c>
      <c r="F26" s="9">
        <v>0</v>
      </c>
      <c r="G26" s="9">
        <v>0</v>
      </c>
      <c r="H26" s="9">
        <v>0</v>
      </c>
      <c r="J26" s="5"/>
    </row>
    <row r="27" spans="1:12" x14ac:dyDescent="0.25">
      <c r="A27" s="51"/>
      <c r="B27" s="51"/>
      <c r="C27" s="51"/>
      <c r="D27" s="8" t="s">
        <v>10</v>
      </c>
      <c r="E27" s="35">
        <v>1</v>
      </c>
      <c r="F27" s="9">
        <f>6047.64*E27</f>
        <v>6047.64</v>
      </c>
      <c r="G27" s="9">
        <f>6350.02*E27</f>
        <v>6350.02</v>
      </c>
      <c r="H27" s="9">
        <f>6667.52*E27</f>
        <v>6667.52</v>
      </c>
      <c r="J27" s="5"/>
    </row>
    <row r="28" spans="1:12" x14ac:dyDescent="0.25">
      <c r="A28" s="51"/>
      <c r="B28" s="53"/>
      <c r="C28" s="51"/>
      <c r="D28" s="8" t="s">
        <v>11</v>
      </c>
      <c r="E28" s="35">
        <v>1</v>
      </c>
      <c r="F28" s="9">
        <f>6370.23*E28</f>
        <v>6370.23</v>
      </c>
      <c r="G28" s="9">
        <f>6688.74*E28</f>
        <v>6688.74</v>
      </c>
      <c r="H28" s="9">
        <f>7023.18*E28</f>
        <v>7023.18</v>
      </c>
      <c r="J28" s="5"/>
    </row>
    <row r="29" spans="1:12" x14ac:dyDescent="0.25">
      <c r="A29" s="53"/>
      <c r="B29" s="51"/>
      <c r="C29" s="51"/>
      <c r="D29" s="8" t="s">
        <v>12</v>
      </c>
      <c r="E29" s="35">
        <v>1</v>
      </c>
      <c r="F29" s="9">
        <f>7503.88*E29</f>
        <v>7503.88</v>
      </c>
      <c r="G29" s="9">
        <f>7879.07*E29</f>
        <v>7879.07</v>
      </c>
      <c r="H29" s="9">
        <f>8273.02*E29</f>
        <v>8273.02</v>
      </c>
      <c r="J29" s="5"/>
    </row>
    <row r="30" spans="1:12" x14ac:dyDescent="0.25">
      <c r="A30" s="51"/>
      <c r="B30" s="51"/>
      <c r="C30" s="51"/>
      <c r="D30" s="8" t="s">
        <v>13</v>
      </c>
      <c r="E30" s="35">
        <v>1</v>
      </c>
      <c r="F30" s="9">
        <f>8379.46*E30</f>
        <v>8379.4599999999991</v>
      </c>
      <c r="G30" s="9">
        <f>8798.43*E30</f>
        <v>8798.43</v>
      </c>
      <c r="H30" s="9">
        <f>9238.35*E30</f>
        <v>9238.35</v>
      </c>
      <c r="J30" s="5"/>
    </row>
    <row r="31" spans="1:12" x14ac:dyDescent="0.25">
      <c r="A31" s="51"/>
      <c r="B31" s="51"/>
      <c r="C31" s="51"/>
      <c r="D31" s="8" t="s">
        <v>14</v>
      </c>
      <c r="E31" s="35">
        <v>1</v>
      </c>
      <c r="F31" s="9">
        <f>8630.85*E31</f>
        <v>8630.85</v>
      </c>
      <c r="G31" s="9">
        <f>9062.4*E31</f>
        <v>9062.4</v>
      </c>
      <c r="H31" s="9">
        <f>9515.52*E31</f>
        <v>9515.52</v>
      </c>
      <c r="J31" s="5"/>
    </row>
    <row r="32" spans="1:12" x14ac:dyDescent="0.25">
      <c r="A32" s="51"/>
      <c r="B32" s="51"/>
      <c r="C32" s="51"/>
      <c r="D32" s="8" t="s">
        <v>15</v>
      </c>
      <c r="E32" s="35">
        <v>1</v>
      </c>
      <c r="F32" s="9">
        <f>6025.86*E32</f>
        <v>6025.86</v>
      </c>
      <c r="G32" s="9">
        <f>6327.15*E32</f>
        <v>6327.15</v>
      </c>
      <c r="H32" s="9">
        <f>6643.51*E32</f>
        <v>6643.51</v>
      </c>
      <c r="J32" s="5"/>
    </row>
    <row r="33" spans="1:10" x14ac:dyDescent="0.25">
      <c r="A33" s="51"/>
      <c r="B33" s="51"/>
      <c r="C33" s="51"/>
      <c r="D33" s="8" t="s">
        <v>16</v>
      </c>
      <c r="E33" s="35">
        <v>1</v>
      </c>
      <c r="F33" s="9">
        <f>6481.24*E33</f>
        <v>6481.24</v>
      </c>
      <c r="G33" s="9">
        <f>6805.3*E33</f>
        <v>6805.3</v>
      </c>
      <c r="H33" s="9">
        <f>7145.56*E33</f>
        <v>7145.56</v>
      </c>
      <c r="J33" s="5"/>
    </row>
    <row r="34" spans="1:10" x14ac:dyDescent="0.25">
      <c r="A34" s="51"/>
      <c r="B34" s="51"/>
      <c r="C34" s="51"/>
      <c r="D34" s="8" t="s">
        <v>17</v>
      </c>
      <c r="E34" s="35">
        <v>1</v>
      </c>
      <c r="F34" s="9">
        <f>6854.92*E34</f>
        <v>6854.92</v>
      </c>
      <c r="G34" s="9">
        <f>7197.66*E34</f>
        <v>7197.66</v>
      </c>
      <c r="H34" s="9">
        <f>7557.54*E34</f>
        <v>7557.54</v>
      </c>
      <c r="J34" s="5"/>
    </row>
    <row r="35" spans="1:10" x14ac:dyDescent="0.25">
      <c r="A35" s="51"/>
      <c r="B35" s="51"/>
      <c r="C35" s="51"/>
      <c r="D35" s="8" t="s">
        <v>18</v>
      </c>
      <c r="E35" s="35">
        <v>1</v>
      </c>
      <c r="F35" s="9">
        <f>7419.96*E35</f>
        <v>7419.96</v>
      </c>
      <c r="G35" s="9">
        <f>7790.95*E35</f>
        <v>7790.95</v>
      </c>
      <c r="H35" s="9">
        <f>8180.5*E35</f>
        <v>8180.5</v>
      </c>
      <c r="J35" s="5"/>
    </row>
    <row r="36" spans="1:10" x14ac:dyDescent="0.25">
      <c r="A36" s="51"/>
      <c r="B36" s="51"/>
      <c r="C36" s="51"/>
      <c r="D36" s="8" t="s">
        <v>19</v>
      </c>
      <c r="E36" s="35">
        <v>1</v>
      </c>
      <c r="F36" s="9">
        <f>8285.74*E36</f>
        <v>8285.74</v>
      </c>
      <c r="G36" s="9">
        <f>8700.03*E36</f>
        <v>8700.0300000000007</v>
      </c>
      <c r="H36" s="9">
        <f>9135.03*E36</f>
        <v>9135.0300000000007</v>
      </c>
      <c r="J36" s="5"/>
    </row>
    <row r="37" spans="1:10" x14ac:dyDescent="0.25">
      <c r="A37" s="51"/>
      <c r="B37" s="51"/>
      <c r="C37" s="51"/>
      <c r="D37" s="8" t="s">
        <v>20</v>
      </c>
      <c r="E37" s="35">
        <v>1</v>
      </c>
      <c r="F37" s="9">
        <f>8534.33*E37</f>
        <v>8534.33</v>
      </c>
      <c r="G37" s="9">
        <f>8961.05*E37</f>
        <v>8961.0499999999993</v>
      </c>
      <c r="H37" s="9">
        <f>9409.1*E37</f>
        <v>9409.1</v>
      </c>
      <c r="J37" s="5"/>
    </row>
    <row r="38" spans="1:10" x14ac:dyDescent="0.25">
      <c r="A38" s="51"/>
      <c r="B38" s="51"/>
      <c r="C38" s="51"/>
      <c r="D38" s="2" t="s">
        <v>29</v>
      </c>
      <c r="E38" s="34">
        <v>1</v>
      </c>
      <c r="F38" s="6">
        <f>6454.01*E38</f>
        <v>6454.01</v>
      </c>
      <c r="G38" s="6">
        <f>6634.72*E38</f>
        <v>6634.72</v>
      </c>
      <c r="H38" s="6">
        <f>6820.49*E38</f>
        <v>6820.49</v>
      </c>
      <c r="J38" s="5"/>
    </row>
    <row r="39" spans="1:10" x14ac:dyDescent="0.25">
      <c r="A39" s="51"/>
      <c r="B39" s="51"/>
      <c r="C39" s="51"/>
      <c r="D39" s="2" t="s">
        <v>30</v>
      </c>
      <c r="E39" s="35">
        <v>1</v>
      </c>
      <c r="F39" s="6">
        <f>6819.83*E39</f>
        <v>6819.83</v>
      </c>
      <c r="G39" s="6">
        <f>7010.79*E39</f>
        <v>7010.79</v>
      </c>
      <c r="H39" s="6">
        <f>7207.1*E39</f>
        <v>7207.1</v>
      </c>
      <c r="J39" s="5"/>
    </row>
    <row r="40" spans="1:10" x14ac:dyDescent="0.25">
      <c r="A40" s="51"/>
      <c r="B40" s="51"/>
      <c r="C40" s="51"/>
      <c r="D40" s="2" t="s">
        <v>31</v>
      </c>
      <c r="E40" s="35">
        <v>1</v>
      </c>
      <c r="F40" s="6">
        <f>7081.13*E40</f>
        <v>7081.13</v>
      </c>
      <c r="G40" s="6">
        <f>7279.4*E40</f>
        <v>7279.4</v>
      </c>
      <c r="H40" s="6">
        <f>7483.22*E40</f>
        <v>7483.22</v>
      </c>
      <c r="J40" s="5"/>
    </row>
    <row r="41" spans="1:10" x14ac:dyDescent="0.25">
      <c r="A41" s="51"/>
      <c r="B41" s="51"/>
      <c r="C41" s="51"/>
      <c r="D41" s="2" t="s">
        <v>32</v>
      </c>
      <c r="E41" s="35">
        <v>1</v>
      </c>
      <c r="F41" s="6">
        <f>7534.06*E41</f>
        <v>7534.06</v>
      </c>
      <c r="G41" s="6">
        <f>7745.02*E41</f>
        <v>7745.02</v>
      </c>
      <c r="H41" s="6">
        <f>7961.88*E41</f>
        <v>7961.88</v>
      </c>
      <c r="J41" s="5"/>
    </row>
    <row r="42" spans="1:10" x14ac:dyDescent="0.25">
      <c r="A42" s="51"/>
      <c r="B42" s="51"/>
      <c r="C42" s="51"/>
      <c r="D42" s="2" t="s">
        <v>33</v>
      </c>
      <c r="E42" s="35">
        <v>1</v>
      </c>
      <c r="F42" s="6">
        <f>8074.04*E42</f>
        <v>8074.04</v>
      </c>
      <c r="G42" s="6">
        <f>8300.12*E42</f>
        <v>8300.1200000000008</v>
      </c>
      <c r="H42" s="6">
        <f>8532.52*E42</f>
        <v>8532.52</v>
      </c>
      <c r="J42" s="5"/>
    </row>
    <row r="43" spans="1:10" x14ac:dyDescent="0.25">
      <c r="A43" s="51"/>
      <c r="B43" s="51"/>
      <c r="C43" s="51"/>
      <c r="D43" s="2" t="s">
        <v>34</v>
      </c>
      <c r="E43" s="35">
        <v>1</v>
      </c>
      <c r="F43" s="6">
        <f>8284.66*E43</f>
        <v>8284.66</v>
      </c>
      <c r="G43" s="6">
        <f>8516.63*E43</f>
        <v>8516.6299999999992</v>
      </c>
      <c r="H43" s="6">
        <f>8755.1*E43</f>
        <v>8755.1</v>
      </c>
      <c r="J43" s="5"/>
    </row>
    <row r="44" spans="1:10" x14ac:dyDescent="0.25">
      <c r="A44" s="51"/>
      <c r="B44" s="51"/>
      <c r="C44" s="51"/>
      <c r="D44" s="3" t="s">
        <v>35</v>
      </c>
      <c r="E44" s="34">
        <v>1</v>
      </c>
      <c r="F44" s="6">
        <f>8518.25*E44</f>
        <v>8518.25</v>
      </c>
      <c r="G44" s="6">
        <f>8756.77*E44</f>
        <v>8756.77</v>
      </c>
      <c r="H44" s="6">
        <f>9001.95*E44</f>
        <v>9001.9500000000007</v>
      </c>
      <c r="J44" s="5"/>
    </row>
    <row r="45" spans="1:10" x14ac:dyDescent="0.25">
      <c r="A45" s="51"/>
      <c r="B45" s="51"/>
      <c r="C45" s="51"/>
      <c r="D45" s="3" t="s">
        <v>36</v>
      </c>
      <c r="E45" s="35">
        <v>1</v>
      </c>
      <c r="F45" s="6">
        <f>9232.47*E45</f>
        <v>9232.4699999999993</v>
      </c>
      <c r="G45" s="6">
        <f>9490.98*E45</f>
        <v>9490.98</v>
      </c>
      <c r="H45" s="6">
        <f>9756.73*E45</f>
        <v>9756.73</v>
      </c>
      <c r="J45" s="5"/>
    </row>
    <row r="46" spans="1:10" x14ac:dyDescent="0.25">
      <c r="A46" s="51"/>
      <c r="B46" s="51"/>
      <c r="C46" s="51"/>
      <c r="D46" s="3" t="s">
        <v>37</v>
      </c>
      <c r="E46" s="35">
        <v>1</v>
      </c>
      <c r="F46" s="6">
        <f>9859.58*E46</f>
        <v>9859.58</v>
      </c>
      <c r="G46" s="6">
        <f>10135.65*E46</f>
        <v>10135.65</v>
      </c>
      <c r="H46" s="6">
        <f>10419.45*E46</f>
        <v>10419.450000000001</v>
      </c>
      <c r="J46" s="5"/>
    </row>
    <row r="47" spans="1:10" x14ac:dyDescent="0.25">
      <c r="A47" s="51"/>
      <c r="B47" s="51"/>
      <c r="C47" s="51"/>
      <c r="D47" s="3" t="s">
        <v>38</v>
      </c>
      <c r="E47" s="35">
        <v>1</v>
      </c>
      <c r="F47" s="6">
        <f>10211.98*E47</f>
        <v>10211.98</v>
      </c>
      <c r="G47" s="6">
        <f>10497.92*E47</f>
        <v>10497.92</v>
      </c>
      <c r="H47" s="6">
        <f>10791.86*E47</f>
        <v>10791.86</v>
      </c>
      <c r="J47" s="5"/>
    </row>
    <row r="48" spans="1:10" x14ac:dyDescent="0.25">
      <c r="A48" s="51"/>
      <c r="B48" s="51"/>
      <c r="C48" s="51"/>
      <c r="D48" s="3" t="s">
        <v>39</v>
      </c>
      <c r="E48" s="35">
        <v>1</v>
      </c>
      <c r="F48" s="6">
        <f>10404.09*E48</f>
        <v>10404.09</v>
      </c>
      <c r="G48" s="6">
        <f>10695.41*E48</f>
        <v>10695.41</v>
      </c>
      <c r="H48" s="6">
        <f>10994.88*E48</f>
        <v>10994.88</v>
      </c>
      <c r="J48" s="5"/>
    </row>
    <row r="49" spans="1:10" x14ac:dyDescent="0.25">
      <c r="A49" s="51"/>
      <c r="B49" s="51"/>
      <c r="C49" s="51"/>
      <c r="D49" s="3" t="s">
        <v>40</v>
      </c>
      <c r="E49" s="35">
        <v>1</v>
      </c>
      <c r="F49" s="6">
        <f>10669.6*E49</f>
        <v>10669.6</v>
      </c>
      <c r="G49" s="6">
        <f>10968.35*E49</f>
        <v>10968.35</v>
      </c>
      <c r="H49" s="6">
        <f>11275.46*E49</f>
        <v>11275.46</v>
      </c>
      <c r="J49" s="5"/>
    </row>
    <row r="50" spans="1:10" x14ac:dyDescent="0.25">
      <c r="A50" s="51"/>
      <c r="B50" s="51"/>
      <c r="C50" s="51"/>
      <c r="D50" s="2" t="s">
        <v>41</v>
      </c>
      <c r="E50" s="34">
        <v>1</v>
      </c>
      <c r="F50" s="6">
        <f>10669.6*E50</f>
        <v>10669.6</v>
      </c>
      <c r="G50" s="6">
        <f>10968.35*E50</f>
        <v>10968.35</v>
      </c>
      <c r="H50" s="6">
        <f>11275.46*E50</f>
        <v>11275.46</v>
      </c>
      <c r="J50" s="5"/>
    </row>
    <row r="51" spans="1:10" x14ac:dyDescent="0.25">
      <c r="A51" s="51"/>
      <c r="B51" s="51"/>
      <c r="C51" s="51"/>
      <c r="D51" s="2" t="s">
        <v>42</v>
      </c>
      <c r="E51" s="35">
        <v>1</v>
      </c>
      <c r="F51" s="6">
        <f>11296.71*E51</f>
        <v>11296.71</v>
      </c>
      <c r="G51" s="6">
        <f>11613.02*E51</f>
        <v>11613.02</v>
      </c>
      <c r="H51" s="6">
        <f>11938.18*E51</f>
        <v>11938.18</v>
      </c>
      <c r="J51" s="5"/>
    </row>
    <row r="52" spans="1:10" x14ac:dyDescent="0.25">
      <c r="A52" s="51"/>
      <c r="B52" s="51"/>
      <c r="C52" s="51"/>
      <c r="D52" s="2" t="s">
        <v>43</v>
      </c>
      <c r="E52" s="35">
        <v>1</v>
      </c>
      <c r="F52" s="6">
        <f>12193.8*E52</f>
        <v>12193.8</v>
      </c>
      <c r="G52" s="6">
        <f>12535.23*E52</f>
        <v>12535.23</v>
      </c>
      <c r="H52" s="6">
        <f>12886.22*E52</f>
        <v>12886.22</v>
      </c>
      <c r="J52" s="5"/>
    </row>
    <row r="53" spans="1:10" x14ac:dyDescent="0.25">
      <c r="A53" s="51"/>
      <c r="B53" s="51"/>
      <c r="C53" s="51"/>
      <c r="D53" s="2" t="s">
        <v>44</v>
      </c>
      <c r="E53" s="35">
        <v>1</v>
      </c>
      <c r="F53" s="6">
        <f>12550.96*E53</f>
        <v>12550.96</v>
      </c>
      <c r="G53" s="6">
        <f>12902.38*E53</f>
        <v>12902.38</v>
      </c>
      <c r="H53" s="6">
        <f>13263.65*E53</f>
        <v>13263.65</v>
      </c>
      <c r="J53" s="5"/>
    </row>
    <row r="54" spans="1:10" x14ac:dyDescent="0.25">
      <c r="A54" s="51"/>
      <c r="B54" s="51"/>
      <c r="C54" s="51"/>
      <c r="D54" s="2" t="s">
        <v>45</v>
      </c>
      <c r="E54" s="35">
        <v>1</v>
      </c>
      <c r="F54" s="6">
        <f>13448.03*E54</f>
        <v>13448.03</v>
      </c>
      <c r="G54" s="6">
        <f>13824.57*E54</f>
        <v>13824.57</v>
      </c>
      <c r="H54" s="6">
        <f>14211.66*E54</f>
        <v>14211.66</v>
      </c>
      <c r="J54" s="5"/>
    </row>
    <row r="55" spans="1:10" x14ac:dyDescent="0.25">
      <c r="A55" s="51"/>
      <c r="B55" s="51"/>
      <c r="C55" s="51"/>
      <c r="D55" s="2" t="s">
        <v>46</v>
      </c>
      <c r="E55" s="35">
        <v>1</v>
      </c>
      <c r="F55" s="6">
        <f>14162.23*E55</f>
        <v>14162.23</v>
      </c>
      <c r="G55" s="6">
        <f>14558.78*E55</f>
        <v>14558.78</v>
      </c>
      <c r="H55" s="6">
        <f>14966.42*E55</f>
        <v>14966.42</v>
      </c>
      <c r="J55" s="5"/>
    </row>
    <row r="56" spans="1:10" x14ac:dyDescent="0.25">
      <c r="G56" s="5"/>
      <c r="H56" s="5"/>
      <c r="I56" s="5"/>
      <c r="J56" s="5"/>
    </row>
  </sheetData>
  <sheetProtection algorithmName="SHA-512" hashValue="FR8xhtE9g1jdNzB9Mz945w8izMpRrCZTgY0pEQ2DFP+kqyWTQSqu0CUW6QI50/5TDD0xrEhVo494x357yriCRw==" saltValue="GBJ9oTQb9AZ8bEePI9zLt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Kolba,Jana</dc:creator>
  <cp:lastModifiedBy>Kolba,Jana</cp:lastModifiedBy>
  <dcterms:created xsi:type="dcterms:W3CDTF">2023-05-09T06:15:30Z</dcterms:created>
  <dcterms:modified xsi:type="dcterms:W3CDTF">2023-05-10T09:29:46Z</dcterms:modified>
</cp:coreProperties>
</file>