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DieseArbeitsmappe"/>
  <mc:AlternateContent xmlns:mc="http://schemas.openxmlformats.org/markup-compatibility/2006">
    <mc:Choice Requires="x15">
      <x15ac:absPath xmlns:x15ac="http://schemas.microsoft.com/office/spreadsheetml/2010/11/ac" url="C:\Users\einerta\Desktop\"/>
    </mc:Choice>
  </mc:AlternateContent>
  <bookViews>
    <workbookView xWindow="0" yWindow="0" windowWidth="28800" windowHeight="11700" tabRatio="735" firstSheet="1"/>
  </bookViews>
  <sheets>
    <sheet name="Voreinstellung_Übersicht" sheetId="1" r:id="rId1"/>
    <sheet name="Feiertage" sheetId="2" r:id="rId2"/>
    <sheet name="Jan" sheetId="3" r:id="rId3"/>
    <sheet name="Feb" sheetId="17" r:id="rId4"/>
    <sheet name="Mrz" sheetId="7" r:id="rId5"/>
    <sheet name="Apr" sheetId="8" r:id="rId6"/>
    <sheet name="Mai" sheetId="9" r:id="rId7"/>
    <sheet name="Jun" sheetId="10" r:id="rId8"/>
    <sheet name="Jul" sheetId="11" r:id="rId9"/>
    <sheet name="Aug" sheetId="12" r:id="rId10"/>
    <sheet name="Sep" sheetId="13" r:id="rId11"/>
    <sheet name="Okt" sheetId="14" r:id="rId12"/>
    <sheet name="Nov" sheetId="15" r:id="rId13"/>
    <sheet name="Dez" sheetId="16" r:id="rId14"/>
    <sheet name="Übersicht" sheetId="5" r:id="rId15"/>
    <sheet name="Zuschläge" sheetId="4" r:id="rId16"/>
  </sheets>
  <definedNames>
    <definedName name="Arbeitszeit_gesamt">Jan!$B$8:$BU$662</definedName>
    <definedName name="AZ_Apr">Apr!$B$8:$XFD$37</definedName>
    <definedName name="AZ_Aug">Aug!$B$8:$XFD$38</definedName>
    <definedName name="AZ_Dez">Dez!$B$8:$XFD$38</definedName>
    <definedName name="AZ_Feb">Feb!$B$8:$XFD$36</definedName>
    <definedName name="AZ_Guthaben">Voreinstellung_Übersicht!$D$13</definedName>
    <definedName name="AZ_Jan">Jan!$B$8:$XFD$38</definedName>
    <definedName name="AZ_Jul">Jul!$B$8:$XFD$38</definedName>
    <definedName name="AZ_Jun">Jun!$B$8:$XFD$37</definedName>
    <definedName name="AZ_Konto">Voreinstellung_Übersicht!$J$28</definedName>
    <definedName name="AZ_Mai">Mai!$B$8:$XFD$38</definedName>
    <definedName name="AZ_Mrz">Mrz!$B$8:$XFD$38</definedName>
    <definedName name="AZ_Nov">Nov!$B$8:$XFD$37</definedName>
    <definedName name="AZ_Okt">Okt!$B$8:$XFD$38</definedName>
    <definedName name="AZ_Sep">Sep!$B$8:$XFD$37</definedName>
    <definedName name="AZ_Übertrag">Dez!$W$41</definedName>
    <definedName name="AZK_Übertrag">Dez!$AV$41</definedName>
    <definedName name="Code">Voreinstellung_Übersicht!$D$28:$F$45</definedName>
    <definedName name="Code_Liste">Voreinstellung_Übersicht!$D$28:$D$45</definedName>
    <definedName name="DR_gesamt">Dez!$AD$41</definedName>
    <definedName name="_xlnm.Print_Area" localSheetId="5">Apr!$A$1:$X$45</definedName>
    <definedName name="_xlnm.Print_Area" localSheetId="9">Aug!$A$1:$X$45</definedName>
    <definedName name="_xlnm.Print_Area" localSheetId="13">Dez!$A$1:$X$45</definedName>
    <definedName name="_xlnm.Print_Area" localSheetId="3">Feb!$A$1:$X$45</definedName>
    <definedName name="_xlnm.Print_Area" localSheetId="2">Jan!$A$1:$X$45</definedName>
    <definedName name="_xlnm.Print_Area" localSheetId="8">Jul!$A$1:$X$45</definedName>
    <definedName name="_xlnm.Print_Area" localSheetId="7">Jun!$A$1:$X$45</definedName>
    <definedName name="_xlnm.Print_Area" localSheetId="6">Mai!$A$1:$X$45</definedName>
    <definedName name="_xlnm.Print_Area" localSheetId="4">Mrz!$A$1:$X$45</definedName>
    <definedName name="_xlnm.Print_Area" localSheetId="12">Nov!$A$1:$X$45</definedName>
    <definedName name="_xlnm.Print_Area" localSheetId="11">Okt!$A$1:$X$45</definedName>
    <definedName name="_xlnm.Print_Area" localSheetId="10">Sep!$A$1:$X$45</definedName>
    <definedName name="_xlnm.Print_Area" localSheetId="14">Übersicht!$B$1:$AL$41,Übersicht!$AN$1:$CK$36</definedName>
    <definedName name="_xlnm.Print_Area" localSheetId="15">Zuschläge!$B$2:$K$50,Zuschläge!$B$54:$K$102,Zuschläge!$B$106:$K$154,Zuschläge!$B$158:$K$206,Zuschläge!$B$210:$K$258,Zuschläge!$B$262:$K$310,Zuschläge!$B$314:$K$362,Zuschläge!$B$366:$K$414,Zuschläge!$B$418:$K$466,Zuschläge!$B$470:$K$518,Zuschläge!$B$522:$K$570,Zuschläge!$B$574:$K$622</definedName>
    <definedName name="_xlnm.Print_Titles" localSheetId="14">Übersicht!$1:$2</definedName>
    <definedName name="EG">Voreinstellung_Übersicht!$J$27</definedName>
    <definedName name="Feiertag_mit">Feiertage!$H$12</definedName>
    <definedName name="Feiertag_ohne">Feiertage!$H$11</definedName>
    <definedName name="Feiertage">Feiertage!$A$3:$A$19</definedName>
    <definedName name="Feiertage_ganz">Feiertage!$A$3:$E$19</definedName>
    <definedName name="Geburtstag">Voreinstellung_Übersicht!$D$4</definedName>
    <definedName name="gelb_minus">Voreinstellung_Übersicht!$O$15</definedName>
    <definedName name="gelb_plus">Voreinstellung_Übersicht!$L$15</definedName>
    <definedName name="gesamt_29_1">Dez!$AJ$41</definedName>
    <definedName name="gesamt_29_2">Dez!$AK$41</definedName>
    <definedName name="gesamt_29_3">Dez!$AL$41</definedName>
    <definedName name="gesamt_29_4">Dez!$AM$41</definedName>
    <definedName name="grün_minus">Voreinstellung_Übersicht!$O$14</definedName>
    <definedName name="grün_plus">Voreinstellung_Übersicht!$L$14</definedName>
    <definedName name="Jahr">Voreinstellung_Übersicht!$C$20</definedName>
    <definedName name="K_gesamt">Dez!$AG$41</definedName>
    <definedName name="KK_gesamt">Dez!$AE$41</definedName>
    <definedName name="Krank_gesamt">Dez!$AF$41</definedName>
    <definedName name="Kur_gesamt">Dez!$AI$41</definedName>
    <definedName name="Legende_Code">Voreinstellung_Übersicht!$A$28:$C$45</definedName>
    <definedName name="mEg_gesamt">Dez!$AH$41</definedName>
    <definedName name="Nacht_22">Feiertage!$H$4</definedName>
    <definedName name="Nacht_6">Feiertage!$H$3</definedName>
    <definedName name="Name">Voreinstellung_Übersicht!$D$3</definedName>
    <definedName name="Pause_6">Voreinstellung_Übersicht!$H$14</definedName>
    <definedName name="Pause_6p">Voreinstellung_Übersicht!$I$14</definedName>
    <definedName name="Pause_9">Voreinstellung_Übersicht!$H$15</definedName>
    <definedName name="Pause_9p">Voreinstellung_Übersicht!$I$15</definedName>
    <definedName name="Personalnummer">Voreinstellung_Übersicht!$D$5</definedName>
    <definedName name="RestUrlaub">Dez!$AB$41</definedName>
    <definedName name="rot_minus">Voreinstellung_Übersicht!$O$16</definedName>
    <definedName name="rot_plus">Voreinstellung_Übersicht!$L$16</definedName>
    <definedName name="Samstagszuschlag">Feiertage!$H$5</definedName>
    <definedName name="Soll_AZ">Voreinstellung_Übersicht!$C$20:$C$24</definedName>
    <definedName name="Struktureinheit">Voreinstellung_Übersicht!$D$7</definedName>
    <definedName name="Struktureinheiten_Liste">Voreinstellung_Übersicht!$U$2:$U$1136</definedName>
    <definedName name="Über_groß">Feiertage!$J$8</definedName>
    <definedName name="Über_klein">Feiertage!$H$8</definedName>
    <definedName name="Übertrag_Mehrarbeit">Voreinstellung_Übersicht!$H$11</definedName>
    <definedName name="Urlaub_Vorjahr">Voreinstellung_Übersicht!$D$16</definedName>
    <definedName name="WB_gesam">Dez!$AC$41</definedName>
    <definedName name="Zuschlag_Nacht">Feiertage!$H$9</definedName>
    <definedName name="Zuschlag_So">Feiertage!$H$10</definedName>
    <definedName name="Zuschläge_24_31">Feiertage!$H$13</definedName>
    <definedName name="Zuschläge_Sa">Feiertage!$H$14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3" l="1"/>
  <c r="O16" i="1"/>
  <c r="O15" i="1"/>
  <c r="O14" i="1"/>
  <c r="L16" i="1"/>
  <c r="L15" i="1"/>
  <c r="L14" i="1"/>
  <c r="O19" i="1"/>
  <c r="C2" i="17"/>
  <c r="E2" i="17"/>
  <c r="K2" i="17"/>
  <c r="K3" i="17"/>
  <c r="J8" i="17"/>
  <c r="L8" i="17"/>
  <c r="O8" i="17"/>
  <c r="Q8" i="17"/>
  <c r="T8" i="17"/>
  <c r="Y8" i="17"/>
  <c r="R8" i="17"/>
  <c r="S8" i="17"/>
  <c r="U8" i="17"/>
  <c r="AN8" i="17"/>
  <c r="AO8" i="17"/>
  <c r="AQ8" i="17"/>
  <c r="AR8" i="17"/>
  <c r="AV8" i="17"/>
  <c r="AW8" i="17"/>
  <c r="BF8" i="17"/>
  <c r="J9" i="17"/>
  <c r="L9" i="17"/>
  <c r="O9" i="17"/>
  <c r="Q9" i="17"/>
  <c r="T9" i="17"/>
  <c r="Y9" i="17"/>
  <c r="R9" i="17"/>
  <c r="S9" i="17"/>
  <c r="U9" i="17"/>
  <c r="AN9" i="17"/>
  <c r="AO9" i="17"/>
  <c r="AQ9" i="17"/>
  <c r="AR9" i="17"/>
  <c r="AV9" i="17"/>
  <c r="AW9" i="17"/>
  <c r="BF9" i="17"/>
  <c r="J10" i="17"/>
  <c r="L10" i="17"/>
  <c r="O10" i="17"/>
  <c r="Q10" i="17"/>
  <c r="T10" i="17"/>
  <c r="Y10" i="17"/>
  <c r="R10" i="17"/>
  <c r="S10" i="17"/>
  <c r="U10" i="17"/>
  <c r="AN10" i="17"/>
  <c r="AO10" i="17"/>
  <c r="AQ10" i="17"/>
  <c r="AR10" i="17"/>
  <c r="AV10" i="17"/>
  <c r="AW10" i="17"/>
  <c r="BF10" i="17"/>
  <c r="J11" i="17"/>
  <c r="L11" i="17"/>
  <c r="O11" i="17"/>
  <c r="Q11" i="17"/>
  <c r="T11" i="17"/>
  <c r="Y11" i="17"/>
  <c r="R11" i="17"/>
  <c r="S11" i="17"/>
  <c r="U11" i="17"/>
  <c r="AN11" i="17"/>
  <c r="AO11" i="17"/>
  <c r="AQ11" i="17"/>
  <c r="AR11" i="17"/>
  <c r="AV11" i="17"/>
  <c r="AW11" i="17"/>
  <c r="BF11" i="17"/>
  <c r="J12" i="17"/>
  <c r="L12" i="17"/>
  <c r="O12" i="17"/>
  <c r="Q12" i="17"/>
  <c r="T12" i="17"/>
  <c r="Y12" i="17"/>
  <c r="R12" i="17"/>
  <c r="S12" i="17"/>
  <c r="U12" i="17"/>
  <c r="AN12" i="17"/>
  <c r="AO12" i="17"/>
  <c r="AQ12" i="17"/>
  <c r="AR12" i="17"/>
  <c r="AV12" i="17"/>
  <c r="AW12" i="17"/>
  <c r="BF12" i="17"/>
  <c r="J13" i="17"/>
  <c r="L13" i="17"/>
  <c r="O13" i="17"/>
  <c r="Q13" i="17"/>
  <c r="T13" i="17"/>
  <c r="Y13" i="17"/>
  <c r="R13" i="17"/>
  <c r="S13" i="17"/>
  <c r="U13" i="17"/>
  <c r="AN13" i="17"/>
  <c r="AO13" i="17"/>
  <c r="AQ13" i="17"/>
  <c r="AR13" i="17"/>
  <c r="AV13" i="17"/>
  <c r="AW13" i="17"/>
  <c r="BF13" i="17"/>
  <c r="J14" i="17"/>
  <c r="L14" i="17"/>
  <c r="O14" i="17"/>
  <c r="Q14" i="17"/>
  <c r="T14" i="17"/>
  <c r="Y14" i="17"/>
  <c r="R14" i="17"/>
  <c r="S14" i="17"/>
  <c r="U14" i="17"/>
  <c r="AN14" i="17"/>
  <c r="AO14" i="17"/>
  <c r="AQ14" i="17"/>
  <c r="AR14" i="17"/>
  <c r="AV14" i="17"/>
  <c r="AW14" i="17"/>
  <c r="BF14" i="17"/>
  <c r="J15" i="17"/>
  <c r="L15" i="17"/>
  <c r="O15" i="17"/>
  <c r="Q15" i="17"/>
  <c r="T15" i="17"/>
  <c r="Y15" i="17"/>
  <c r="R15" i="17"/>
  <c r="S15" i="17"/>
  <c r="U15" i="17"/>
  <c r="AN15" i="17"/>
  <c r="AO15" i="17"/>
  <c r="AQ15" i="17"/>
  <c r="AR15" i="17"/>
  <c r="AV15" i="17"/>
  <c r="AW15" i="17"/>
  <c r="BF15" i="17"/>
  <c r="J16" i="17"/>
  <c r="L16" i="17"/>
  <c r="O16" i="17"/>
  <c r="Q16" i="17"/>
  <c r="T16" i="17"/>
  <c r="Y16" i="17"/>
  <c r="R16" i="17"/>
  <c r="S16" i="17"/>
  <c r="U16" i="17"/>
  <c r="AN16" i="17"/>
  <c r="AO16" i="17"/>
  <c r="AV16" i="17"/>
  <c r="AW16" i="17"/>
  <c r="AQ16" i="17"/>
  <c r="AR16" i="17"/>
  <c r="BF16" i="17"/>
  <c r="J17" i="17"/>
  <c r="L17" i="17"/>
  <c r="O17" i="17"/>
  <c r="Q17" i="17"/>
  <c r="T17" i="17"/>
  <c r="Y17" i="17"/>
  <c r="R17" i="17"/>
  <c r="S17" i="17"/>
  <c r="U17" i="17"/>
  <c r="AN17" i="17"/>
  <c r="AO17" i="17"/>
  <c r="AQ17" i="17"/>
  <c r="AR17" i="17"/>
  <c r="AV17" i="17"/>
  <c r="AW17" i="17"/>
  <c r="BF17" i="17"/>
  <c r="J18" i="17"/>
  <c r="L18" i="17"/>
  <c r="O18" i="17"/>
  <c r="Q18" i="17"/>
  <c r="T18" i="17"/>
  <c r="Y18" i="17"/>
  <c r="R18" i="17"/>
  <c r="S18" i="17"/>
  <c r="U18" i="17"/>
  <c r="AN18" i="17"/>
  <c r="AO18" i="17"/>
  <c r="AQ18" i="17"/>
  <c r="AR18" i="17"/>
  <c r="AV18" i="17"/>
  <c r="AW18" i="17"/>
  <c r="BF18" i="17"/>
  <c r="J19" i="17"/>
  <c r="L19" i="17"/>
  <c r="O19" i="17"/>
  <c r="Q19" i="17"/>
  <c r="T19" i="17"/>
  <c r="Y19" i="17"/>
  <c r="R19" i="17"/>
  <c r="S19" i="17"/>
  <c r="U19" i="17"/>
  <c r="AN19" i="17"/>
  <c r="AO19" i="17"/>
  <c r="AQ19" i="17"/>
  <c r="AR19" i="17"/>
  <c r="AV19" i="17"/>
  <c r="AW19" i="17"/>
  <c r="BF19" i="17"/>
  <c r="J20" i="17"/>
  <c r="L20" i="17"/>
  <c r="O20" i="17"/>
  <c r="Q20" i="17"/>
  <c r="T20" i="17"/>
  <c r="Y20" i="17"/>
  <c r="R20" i="17"/>
  <c r="S20" i="17"/>
  <c r="U20" i="17"/>
  <c r="AN20" i="17"/>
  <c r="AO20" i="17"/>
  <c r="AQ20" i="17"/>
  <c r="AR20" i="17"/>
  <c r="AV20" i="17"/>
  <c r="AW20" i="17"/>
  <c r="BF20" i="17"/>
  <c r="J21" i="17"/>
  <c r="L21" i="17"/>
  <c r="O21" i="17"/>
  <c r="Q21" i="17"/>
  <c r="T21" i="17"/>
  <c r="Y21" i="17"/>
  <c r="R21" i="17"/>
  <c r="S21" i="17"/>
  <c r="U21" i="17"/>
  <c r="AN21" i="17"/>
  <c r="AO21" i="17"/>
  <c r="AV21" i="17"/>
  <c r="AW21" i="17"/>
  <c r="AQ21" i="17"/>
  <c r="AR21" i="17"/>
  <c r="BF21" i="17"/>
  <c r="J22" i="17"/>
  <c r="L22" i="17"/>
  <c r="O22" i="17"/>
  <c r="Q22" i="17"/>
  <c r="R22" i="17"/>
  <c r="S22" i="17"/>
  <c r="T22" i="17"/>
  <c r="Y22" i="17"/>
  <c r="U22" i="17"/>
  <c r="AN22" i="17"/>
  <c r="AO22" i="17"/>
  <c r="AQ22" i="17"/>
  <c r="AR22" i="17"/>
  <c r="AV22" i="17"/>
  <c r="AW22" i="17"/>
  <c r="BF22" i="17"/>
  <c r="J23" i="17"/>
  <c r="L23" i="17"/>
  <c r="O23" i="17"/>
  <c r="Q23" i="17"/>
  <c r="T23" i="17"/>
  <c r="Y23" i="17"/>
  <c r="R23" i="17"/>
  <c r="S23" i="17"/>
  <c r="U23" i="17"/>
  <c r="AN23" i="17"/>
  <c r="AO23" i="17"/>
  <c r="AQ23" i="17"/>
  <c r="AR23" i="17"/>
  <c r="AV23" i="17"/>
  <c r="AW23" i="17"/>
  <c r="BF23" i="17"/>
  <c r="J24" i="17"/>
  <c r="L24" i="17"/>
  <c r="O24" i="17"/>
  <c r="Q24" i="17"/>
  <c r="T24" i="17"/>
  <c r="Y24" i="17"/>
  <c r="R24" i="17"/>
  <c r="S24" i="17"/>
  <c r="U24" i="17"/>
  <c r="AN24" i="17"/>
  <c r="AO24" i="17"/>
  <c r="AQ24" i="17"/>
  <c r="AR24" i="17"/>
  <c r="AV24" i="17"/>
  <c r="AW24" i="17"/>
  <c r="BF24" i="17"/>
  <c r="J25" i="17"/>
  <c r="L25" i="17"/>
  <c r="O25" i="17"/>
  <c r="Q25" i="17"/>
  <c r="T25" i="17"/>
  <c r="Y25" i="17"/>
  <c r="R25" i="17"/>
  <c r="S25" i="17"/>
  <c r="U25" i="17"/>
  <c r="AN25" i="17"/>
  <c r="AO25" i="17"/>
  <c r="AQ25" i="17"/>
  <c r="AR25" i="17"/>
  <c r="AV25" i="17"/>
  <c r="AW25" i="17"/>
  <c r="BF25" i="17"/>
  <c r="J26" i="17"/>
  <c r="L26" i="17"/>
  <c r="O26" i="17"/>
  <c r="Q26" i="17"/>
  <c r="T26" i="17"/>
  <c r="Y26" i="17"/>
  <c r="R26" i="17"/>
  <c r="S26" i="17"/>
  <c r="U26" i="17"/>
  <c r="AN26" i="17"/>
  <c r="AO26" i="17"/>
  <c r="AQ26" i="17"/>
  <c r="AR26" i="17"/>
  <c r="AV26" i="17"/>
  <c r="AW26" i="17"/>
  <c r="BF26" i="17"/>
  <c r="J27" i="17"/>
  <c r="L27" i="17"/>
  <c r="O27" i="17"/>
  <c r="Q27" i="17"/>
  <c r="T27" i="17"/>
  <c r="Y27" i="17"/>
  <c r="R27" i="17"/>
  <c r="S27" i="17"/>
  <c r="U27" i="17"/>
  <c r="AN27" i="17"/>
  <c r="AO27" i="17"/>
  <c r="AQ27" i="17"/>
  <c r="AR27" i="17"/>
  <c r="AV27" i="17"/>
  <c r="AW27" i="17"/>
  <c r="BF27" i="17"/>
  <c r="J28" i="17"/>
  <c r="L28" i="17"/>
  <c r="O28" i="17"/>
  <c r="Q28" i="17"/>
  <c r="T28" i="17"/>
  <c r="Y28" i="17"/>
  <c r="R28" i="17"/>
  <c r="S28" i="17"/>
  <c r="U28" i="17"/>
  <c r="AN28" i="17"/>
  <c r="AO28" i="17"/>
  <c r="AQ28" i="17"/>
  <c r="AR28" i="17"/>
  <c r="AV28" i="17"/>
  <c r="AW28" i="17"/>
  <c r="BF28" i="17"/>
  <c r="J29" i="17"/>
  <c r="L29" i="17"/>
  <c r="O29" i="17"/>
  <c r="Q29" i="17"/>
  <c r="T29" i="17"/>
  <c r="Y29" i="17"/>
  <c r="R29" i="17"/>
  <c r="S29" i="17"/>
  <c r="U29" i="17"/>
  <c r="AN29" i="17"/>
  <c r="AO29" i="17"/>
  <c r="AQ29" i="17"/>
  <c r="AR29" i="17"/>
  <c r="AV29" i="17"/>
  <c r="AW29" i="17"/>
  <c r="BF29" i="17"/>
  <c r="J30" i="17"/>
  <c r="L30" i="17"/>
  <c r="O30" i="17"/>
  <c r="Q30" i="17"/>
  <c r="T30" i="17"/>
  <c r="Y30" i="17"/>
  <c r="R30" i="17"/>
  <c r="S30" i="17"/>
  <c r="U30" i="17"/>
  <c r="AN30" i="17"/>
  <c r="AO30" i="17"/>
  <c r="AQ30" i="17"/>
  <c r="AR30" i="17"/>
  <c r="AV30" i="17"/>
  <c r="AW30" i="17"/>
  <c r="BF30" i="17"/>
  <c r="J31" i="17"/>
  <c r="L31" i="17"/>
  <c r="O31" i="17"/>
  <c r="Q31" i="17"/>
  <c r="T31" i="17"/>
  <c r="Y31" i="17"/>
  <c r="R31" i="17"/>
  <c r="S31" i="17"/>
  <c r="U31" i="17"/>
  <c r="AN31" i="17"/>
  <c r="AO31" i="17"/>
  <c r="AQ31" i="17"/>
  <c r="AR31" i="17"/>
  <c r="AV31" i="17"/>
  <c r="AW31" i="17"/>
  <c r="BF31" i="17"/>
  <c r="J32" i="17"/>
  <c r="L32" i="17"/>
  <c r="O32" i="17"/>
  <c r="Q32" i="17"/>
  <c r="T32" i="17"/>
  <c r="Y32" i="17"/>
  <c r="R32" i="17"/>
  <c r="S32" i="17"/>
  <c r="U32" i="17"/>
  <c r="AN32" i="17"/>
  <c r="AO32" i="17"/>
  <c r="AQ32" i="17"/>
  <c r="AR32" i="17"/>
  <c r="AV32" i="17"/>
  <c r="AW32" i="17"/>
  <c r="BF32" i="17"/>
  <c r="J33" i="17"/>
  <c r="L33" i="17"/>
  <c r="O33" i="17"/>
  <c r="Q33" i="17"/>
  <c r="T33" i="17"/>
  <c r="Y33" i="17"/>
  <c r="R33" i="17"/>
  <c r="S33" i="17"/>
  <c r="U33" i="17"/>
  <c r="AN33" i="17"/>
  <c r="AO33" i="17"/>
  <c r="AV33" i="17"/>
  <c r="AW33" i="17"/>
  <c r="AQ33" i="17"/>
  <c r="AR33" i="17"/>
  <c r="BF33" i="17"/>
  <c r="J34" i="17"/>
  <c r="L34" i="17"/>
  <c r="O34" i="17"/>
  <c r="Q34" i="17"/>
  <c r="T34" i="17"/>
  <c r="Y34" i="17"/>
  <c r="R34" i="17"/>
  <c r="S34" i="17"/>
  <c r="U34" i="17"/>
  <c r="AN34" i="17"/>
  <c r="AO34" i="17"/>
  <c r="AQ34" i="17"/>
  <c r="AR34" i="17"/>
  <c r="AV34" i="17"/>
  <c r="AW34" i="17"/>
  <c r="BF34" i="17"/>
  <c r="J35" i="17"/>
  <c r="L35" i="17"/>
  <c r="O35" i="17"/>
  <c r="Q35" i="17"/>
  <c r="T35" i="17"/>
  <c r="Y35" i="17"/>
  <c r="R35" i="17"/>
  <c r="S35" i="17"/>
  <c r="U35" i="17"/>
  <c r="AN35" i="17"/>
  <c r="AO35" i="17"/>
  <c r="AV35" i="17"/>
  <c r="AW35" i="17"/>
  <c r="AQ35" i="17"/>
  <c r="AR35" i="17"/>
  <c r="BF35" i="17"/>
  <c r="J36" i="17"/>
  <c r="L36" i="17"/>
  <c r="O36" i="17"/>
  <c r="Q36" i="17"/>
  <c r="Y36" i="17"/>
  <c r="Y40" i="17" s="1"/>
  <c r="AN36" i="17"/>
  <c r="AO36" i="17"/>
  <c r="AQ36" i="17"/>
  <c r="AR36" i="17"/>
  <c r="BE37" i="17"/>
  <c r="BF37" i="17"/>
  <c r="BE38" i="17"/>
  <c r="BF38" i="17"/>
  <c r="AX39" i="17"/>
  <c r="BA39" i="17"/>
  <c r="BB39" i="17"/>
  <c r="AW40" i="17" s="1"/>
  <c r="AW41" i="17" s="1"/>
  <c r="R36" i="17"/>
  <c r="S36" i="17"/>
  <c r="BF38" i="15"/>
  <c r="BF38" i="13"/>
  <c r="BF38" i="10"/>
  <c r="BF38" i="8"/>
  <c r="K3" i="16"/>
  <c r="K2" i="16"/>
  <c r="C2" i="16"/>
  <c r="E2" i="16"/>
  <c r="K3" i="15"/>
  <c r="K2" i="15"/>
  <c r="C2" i="15"/>
  <c r="E2" i="15"/>
  <c r="K3" i="14"/>
  <c r="K2" i="14"/>
  <c r="C2" i="14"/>
  <c r="E2" i="14"/>
  <c r="K3" i="13"/>
  <c r="K2" i="13"/>
  <c r="C2" i="13"/>
  <c r="E2" i="13"/>
  <c r="K3" i="12"/>
  <c r="K2" i="12"/>
  <c r="C2" i="12"/>
  <c r="E2" i="12"/>
  <c r="K3" i="11"/>
  <c r="K2" i="11"/>
  <c r="C2" i="11"/>
  <c r="E2" i="11"/>
  <c r="K3" i="10"/>
  <c r="K2" i="10"/>
  <c r="C2" i="10"/>
  <c r="E2" i="10"/>
  <c r="K3" i="9"/>
  <c r="K2" i="9"/>
  <c r="C2" i="9"/>
  <c r="E2" i="9"/>
  <c r="K3" i="8"/>
  <c r="K2" i="8"/>
  <c r="C2" i="8"/>
  <c r="E2" i="8"/>
  <c r="K3" i="7"/>
  <c r="K2" i="7"/>
  <c r="C2" i="7"/>
  <c r="E2" i="7"/>
  <c r="K3" i="3"/>
  <c r="K2" i="3"/>
  <c r="C2" i="3"/>
  <c r="E2" i="3"/>
  <c r="O41" i="5"/>
  <c r="O39" i="5"/>
  <c r="O40" i="5"/>
  <c r="O38" i="5"/>
  <c r="L39" i="5"/>
  <c r="L40" i="5"/>
  <c r="L41" i="5"/>
  <c r="L38" i="5"/>
  <c r="I39" i="5"/>
  <c r="I40" i="5"/>
  <c r="I41" i="5"/>
  <c r="I38" i="5"/>
  <c r="F39" i="5"/>
  <c r="F40" i="5"/>
  <c r="F41" i="5"/>
  <c r="F38" i="5"/>
  <c r="BB39" i="16"/>
  <c r="BA39" i="16"/>
  <c r="AX39" i="16"/>
  <c r="AR38" i="16"/>
  <c r="AQ38" i="16"/>
  <c r="AO38" i="16"/>
  <c r="AN38" i="16"/>
  <c r="Y38" i="16"/>
  <c r="T38" i="16"/>
  <c r="O38" i="16"/>
  <c r="Q38" i="16"/>
  <c r="J38" i="16"/>
  <c r="AR37" i="16"/>
  <c r="AQ37" i="16"/>
  <c r="AO37" i="16"/>
  <c r="AN37" i="16"/>
  <c r="Y37" i="16"/>
  <c r="T37" i="16"/>
  <c r="O37" i="16"/>
  <c r="Q37" i="16"/>
  <c r="J37" i="16"/>
  <c r="L37" i="16"/>
  <c r="AR36" i="16"/>
  <c r="AQ36" i="16"/>
  <c r="AO36" i="16"/>
  <c r="AN36" i="16"/>
  <c r="Y36" i="16"/>
  <c r="T36" i="16"/>
  <c r="O36" i="16"/>
  <c r="Q36" i="16"/>
  <c r="J36" i="16"/>
  <c r="AR35" i="16"/>
  <c r="AQ35" i="16"/>
  <c r="AO35" i="16"/>
  <c r="AN35" i="16"/>
  <c r="Y35" i="16"/>
  <c r="T35" i="16"/>
  <c r="O35" i="16"/>
  <c r="Q35" i="16"/>
  <c r="L35" i="16"/>
  <c r="J35" i="16"/>
  <c r="AR34" i="16"/>
  <c r="AQ34" i="16"/>
  <c r="AO34" i="16"/>
  <c r="AN34" i="16"/>
  <c r="Y34" i="16"/>
  <c r="T34" i="16"/>
  <c r="O34" i="16"/>
  <c r="Q34" i="16"/>
  <c r="J34" i="16"/>
  <c r="L34" i="16"/>
  <c r="AR33" i="16"/>
  <c r="AQ33" i="16"/>
  <c r="AO33" i="16"/>
  <c r="AN33" i="16"/>
  <c r="Y33" i="16"/>
  <c r="T33" i="16"/>
  <c r="O33" i="16"/>
  <c r="Q33" i="16"/>
  <c r="J33" i="16"/>
  <c r="AR32" i="16"/>
  <c r="AQ32" i="16"/>
  <c r="AO32" i="16"/>
  <c r="AN32" i="16"/>
  <c r="Y32" i="16"/>
  <c r="T32" i="16"/>
  <c r="O32" i="16"/>
  <c r="Q32" i="16"/>
  <c r="J32" i="16"/>
  <c r="L32" i="16"/>
  <c r="AR31" i="16"/>
  <c r="AQ31" i="16"/>
  <c r="AO31" i="16"/>
  <c r="AN31" i="16"/>
  <c r="Y31" i="16"/>
  <c r="T31" i="16"/>
  <c r="O31" i="16"/>
  <c r="Q31" i="16"/>
  <c r="J31" i="16"/>
  <c r="L31" i="16"/>
  <c r="AR30" i="16"/>
  <c r="AQ30" i="16"/>
  <c r="AO30" i="16"/>
  <c r="AN30" i="16"/>
  <c r="Y30" i="16"/>
  <c r="T30" i="16"/>
  <c r="O30" i="16"/>
  <c r="Q30" i="16"/>
  <c r="J30" i="16"/>
  <c r="L30" i="16"/>
  <c r="AR29" i="16"/>
  <c r="AQ29" i="16"/>
  <c r="AO29" i="16"/>
  <c r="AN29" i="16"/>
  <c r="Y29" i="16"/>
  <c r="T29" i="16"/>
  <c r="O29" i="16"/>
  <c r="Q29" i="16"/>
  <c r="J29" i="16"/>
  <c r="AR28" i="16"/>
  <c r="AQ28" i="16"/>
  <c r="AO28" i="16"/>
  <c r="AN28" i="16"/>
  <c r="Y28" i="16"/>
  <c r="T28" i="16"/>
  <c r="O28" i="16"/>
  <c r="Q28" i="16"/>
  <c r="J28" i="16"/>
  <c r="L28" i="16"/>
  <c r="AR27" i="16"/>
  <c r="AQ27" i="16"/>
  <c r="AO27" i="16"/>
  <c r="AN27" i="16"/>
  <c r="Y27" i="16"/>
  <c r="T27" i="16"/>
  <c r="O27" i="16"/>
  <c r="Q27" i="16"/>
  <c r="J27" i="16"/>
  <c r="L27" i="16"/>
  <c r="AR26" i="16"/>
  <c r="AQ26" i="16"/>
  <c r="AO26" i="16"/>
  <c r="AN26" i="16"/>
  <c r="Y26" i="16"/>
  <c r="T26" i="16"/>
  <c r="O26" i="16"/>
  <c r="Q26" i="16"/>
  <c r="J26" i="16"/>
  <c r="L26" i="16"/>
  <c r="AR25" i="16"/>
  <c r="AQ25" i="16"/>
  <c r="AO25" i="16"/>
  <c r="AN25" i="16"/>
  <c r="Y25" i="16"/>
  <c r="T25" i="16"/>
  <c r="O25" i="16"/>
  <c r="Q25" i="16"/>
  <c r="J25" i="16"/>
  <c r="L25" i="16"/>
  <c r="AR24" i="16"/>
  <c r="AQ24" i="16"/>
  <c r="AO24" i="16"/>
  <c r="AN24" i="16"/>
  <c r="Y24" i="16"/>
  <c r="T24" i="16"/>
  <c r="O24" i="16"/>
  <c r="Q24" i="16"/>
  <c r="L24" i="16"/>
  <c r="J24" i="16"/>
  <c r="AR23" i="16"/>
  <c r="AQ23" i="16"/>
  <c r="AO23" i="16"/>
  <c r="AN23" i="16"/>
  <c r="Y23" i="16"/>
  <c r="T23" i="16"/>
  <c r="O23" i="16"/>
  <c r="Q23" i="16"/>
  <c r="J23" i="16"/>
  <c r="L23" i="16"/>
  <c r="AR22" i="16"/>
  <c r="AQ22" i="16"/>
  <c r="AO22" i="16"/>
  <c r="AN22" i="16"/>
  <c r="Y22" i="16"/>
  <c r="T22" i="16"/>
  <c r="O22" i="16"/>
  <c r="Q22" i="16"/>
  <c r="J22" i="16"/>
  <c r="L22" i="16"/>
  <c r="AR21" i="16"/>
  <c r="AQ21" i="16"/>
  <c r="AO21" i="16"/>
  <c r="AN21" i="16"/>
  <c r="Y21" i="16"/>
  <c r="T21" i="16"/>
  <c r="O21" i="16"/>
  <c r="Q21" i="16"/>
  <c r="J21" i="16"/>
  <c r="L21" i="16"/>
  <c r="AR20" i="16"/>
  <c r="AQ20" i="16"/>
  <c r="AO20" i="16"/>
  <c r="AN20" i="16"/>
  <c r="Y20" i="16"/>
  <c r="T20" i="16"/>
  <c r="O20" i="16"/>
  <c r="Q20" i="16"/>
  <c r="J20" i="16"/>
  <c r="L20" i="16"/>
  <c r="AR19" i="16"/>
  <c r="AQ19" i="16"/>
  <c r="AO19" i="16"/>
  <c r="AN19" i="16"/>
  <c r="Y19" i="16"/>
  <c r="T19" i="16"/>
  <c r="O19" i="16"/>
  <c r="Q19" i="16"/>
  <c r="J19" i="16"/>
  <c r="L19" i="16"/>
  <c r="AR18" i="16"/>
  <c r="AQ18" i="16"/>
  <c r="AO18" i="16"/>
  <c r="AN18" i="16"/>
  <c r="Y18" i="16"/>
  <c r="T18" i="16"/>
  <c r="O18" i="16"/>
  <c r="Q18" i="16"/>
  <c r="J18" i="16"/>
  <c r="L18" i="16"/>
  <c r="AR17" i="16"/>
  <c r="AQ17" i="16"/>
  <c r="AO17" i="16"/>
  <c r="AN17" i="16"/>
  <c r="Y17" i="16"/>
  <c r="T17" i="16"/>
  <c r="O17" i="16"/>
  <c r="Q17" i="16"/>
  <c r="J17" i="16"/>
  <c r="L17" i="16"/>
  <c r="AR16" i="16"/>
  <c r="AQ16" i="16"/>
  <c r="AO16" i="16"/>
  <c r="AN16" i="16"/>
  <c r="Y16" i="16"/>
  <c r="T16" i="16"/>
  <c r="O16" i="16"/>
  <c r="Q16" i="16"/>
  <c r="L16" i="16"/>
  <c r="J16" i="16"/>
  <c r="AR15" i="16"/>
  <c r="AQ15" i="16"/>
  <c r="AO15" i="16"/>
  <c r="AN15" i="16"/>
  <c r="Y15" i="16"/>
  <c r="T15" i="16"/>
  <c r="O15" i="16"/>
  <c r="Q15" i="16"/>
  <c r="J15" i="16"/>
  <c r="L15" i="16"/>
  <c r="AR14" i="16"/>
  <c r="AQ14" i="16"/>
  <c r="AO14" i="16"/>
  <c r="AN14" i="16"/>
  <c r="Y14" i="16"/>
  <c r="T14" i="16"/>
  <c r="O14" i="16"/>
  <c r="Q14" i="16"/>
  <c r="J14" i="16"/>
  <c r="L14" i="16"/>
  <c r="AR13" i="16"/>
  <c r="AQ13" i="16"/>
  <c r="AO13" i="16"/>
  <c r="AN13" i="16"/>
  <c r="Y13" i="16"/>
  <c r="T13" i="16"/>
  <c r="O13" i="16"/>
  <c r="Q13" i="16"/>
  <c r="J13" i="16"/>
  <c r="AR12" i="16"/>
  <c r="AQ12" i="16"/>
  <c r="AO12" i="16"/>
  <c r="AN12" i="16"/>
  <c r="Y12" i="16"/>
  <c r="T12" i="16"/>
  <c r="O12" i="16"/>
  <c r="Q12" i="16"/>
  <c r="J12" i="16"/>
  <c r="L12" i="16"/>
  <c r="AR11" i="16"/>
  <c r="AQ11" i="16"/>
  <c r="AO11" i="16"/>
  <c r="AN11" i="16"/>
  <c r="Y11" i="16"/>
  <c r="T11" i="16"/>
  <c r="O11" i="16"/>
  <c r="Q11" i="16"/>
  <c r="J11" i="16"/>
  <c r="AR10" i="16"/>
  <c r="AQ10" i="16"/>
  <c r="AO10" i="16"/>
  <c r="AN10" i="16"/>
  <c r="Y10" i="16"/>
  <c r="T10" i="16"/>
  <c r="O10" i="16"/>
  <c r="Q10" i="16"/>
  <c r="J10" i="16"/>
  <c r="L10" i="16"/>
  <c r="AR9" i="16"/>
  <c r="AQ9" i="16"/>
  <c r="AO9" i="16"/>
  <c r="AN9" i="16"/>
  <c r="Y9" i="16"/>
  <c r="T9" i="16"/>
  <c r="O9" i="16"/>
  <c r="Q9" i="16"/>
  <c r="J9" i="16"/>
  <c r="AR8" i="16"/>
  <c r="AQ8" i="16"/>
  <c r="AO8" i="16"/>
  <c r="AN8" i="16"/>
  <c r="Y8" i="16"/>
  <c r="T8" i="16"/>
  <c r="O8" i="16"/>
  <c r="Q8" i="16"/>
  <c r="J8" i="16"/>
  <c r="BB39" i="15"/>
  <c r="BA39" i="15"/>
  <c r="AX39" i="15"/>
  <c r="AR37" i="15"/>
  <c r="AQ37" i="15"/>
  <c r="AO37" i="15"/>
  <c r="AN37" i="15"/>
  <c r="Y37" i="15"/>
  <c r="T37" i="15"/>
  <c r="O37" i="15"/>
  <c r="Q37" i="15"/>
  <c r="J37" i="15"/>
  <c r="L37" i="15"/>
  <c r="AR36" i="15"/>
  <c r="AQ36" i="15"/>
  <c r="AO36" i="15"/>
  <c r="AN36" i="15"/>
  <c r="Y36" i="15"/>
  <c r="T36" i="15"/>
  <c r="O36" i="15"/>
  <c r="Q36" i="15"/>
  <c r="J36" i="15"/>
  <c r="AR35" i="15"/>
  <c r="AQ35" i="15"/>
  <c r="AO35" i="15"/>
  <c r="AN35" i="15"/>
  <c r="Y35" i="15"/>
  <c r="T35" i="15"/>
  <c r="O35" i="15"/>
  <c r="Q35" i="15"/>
  <c r="J35" i="15"/>
  <c r="R35" i="15"/>
  <c r="S35" i="15"/>
  <c r="AR34" i="15"/>
  <c r="AQ34" i="15"/>
  <c r="AO34" i="15"/>
  <c r="AN34" i="15"/>
  <c r="Y34" i="15"/>
  <c r="T34" i="15"/>
  <c r="O34" i="15"/>
  <c r="Q34" i="15"/>
  <c r="J34" i="15"/>
  <c r="L34" i="15"/>
  <c r="AR33" i="15"/>
  <c r="AQ33" i="15"/>
  <c r="AO33" i="15"/>
  <c r="AN33" i="15"/>
  <c r="Y33" i="15"/>
  <c r="T33" i="15"/>
  <c r="O33" i="15"/>
  <c r="Q33" i="15"/>
  <c r="J33" i="15"/>
  <c r="L33" i="15"/>
  <c r="AR32" i="15"/>
  <c r="AQ32" i="15"/>
  <c r="AO32" i="15"/>
  <c r="AN32" i="15"/>
  <c r="Y32" i="15"/>
  <c r="T32" i="15"/>
  <c r="O32" i="15"/>
  <c r="Q32" i="15"/>
  <c r="J32" i="15"/>
  <c r="AR31" i="15"/>
  <c r="AQ31" i="15"/>
  <c r="AO31" i="15"/>
  <c r="AN31" i="15"/>
  <c r="Y31" i="15"/>
  <c r="T31" i="15"/>
  <c r="O31" i="15"/>
  <c r="Q31" i="15"/>
  <c r="J31" i="15"/>
  <c r="L31" i="15"/>
  <c r="AR30" i="15"/>
  <c r="AQ30" i="15"/>
  <c r="AO30" i="15"/>
  <c r="AN30" i="15"/>
  <c r="Y30" i="15"/>
  <c r="T30" i="15"/>
  <c r="O30" i="15"/>
  <c r="Q30" i="15"/>
  <c r="J30" i="15"/>
  <c r="L30" i="15"/>
  <c r="AR29" i="15"/>
  <c r="AQ29" i="15"/>
  <c r="AO29" i="15"/>
  <c r="AN29" i="15"/>
  <c r="Y29" i="15"/>
  <c r="T29" i="15"/>
  <c r="O29" i="15"/>
  <c r="Q29" i="15"/>
  <c r="J29" i="15"/>
  <c r="L29" i="15"/>
  <c r="AR28" i="15"/>
  <c r="AQ28" i="15"/>
  <c r="AO28" i="15"/>
  <c r="AN28" i="15"/>
  <c r="Y28" i="15"/>
  <c r="T28" i="15"/>
  <c r="O28" i="15"/>
  <c r="Q28" i="15"/>
  <c r="J28" i="15"/>
  <c r="AR27" i="15"/>
  <c r="AQ27" i="15"/>
  <c r="AO27" i="15"/>
  <c r="AN27" i="15"/>
  <c r="Y27" i="15"/>
  <c r="T27" i="15"/>
  <c r="O27" i="15"/>
  <c r="Q27" i="15"/>
  <c r="J27" i="15"/>
  <c r="L27" i="15"/>
  <c r="AR26" i="15"/>
  <c r="AQ26" i="15"/>
  <c r="AO26" i="15"/>
  <c r="AN26" i="15"/>
  <c r="Y26" i="15"/>
  <c r="T26" i="15"/>
  <c r="O26" i="15"/>
  <c r="Q26" i="15"/>
  <c r="L26" i="15"/>
  <c r="J26" i="15"/>
  <c r="AR25" i="15"/>
  <c r="AQ25" i="15"/>
  <c r="AO25" i="15"/>
  <c r="AN25" i="15"/>
  <c r="Y25" i="15"/>
  <c r="T25" i="15"/>
  <c r="O25" i="15"/>
  <c r="Q25" i="15"/>
  <c r="J25" i="15"/>
  <c r="L25" i="15"/>
  <c r="AR24" i="15"/>
  <c r="AQ24" i="15"/>
  <c r="AO24" i="15"/>
  <c r="AN24" i="15"/>
  <c r="Y24" i="15"/>
  <c r="T24" i="15"/>
  <c r="O24" i="15"/>
  <c r="Q24" i="15"/>
  <c r="J24" i="15"/>
  <c r="AR23" i="15"/>
  <c r="AQ23" i="15"/>
  <c r="AO23" i="15"/>
  <c r="AN23" i="15"/>
  <c r="Y23" i="15"/>
  <c r="T23" i="15"/>
  <c r="O23" i="15"/>
  <c r="Q23" i="15"/>
  <c r="J23" i="15"/>
  <c r="L23" i="15"/>
  <c r="AR22" i="15"/>
  <c r="AQ22" i="15"/>
  <c r="AO22" i="15"/>
  <c r="AN22" i="15"/>
  <c r="Y22" i="15"/>
  <c r="T22" i="15"/>
  <c r="O22" i="15"/>
  <c r="Q22" i="15"/>
  <c r="J22" i="15"/>
  <c r="L22" i="15"/>
  <c r="AR21" i="15"/>
  <c r="AQ21" i="15"/>
  <c r="AO21" i="15"/>
  <c r="AN21" i="15"/>
  <c r="Y21" i="15"/>
  <c r="T21" i="15"/>
  <c r="O21" i="15"/>
  <c r="Q21" i="15"/>
  <c r="J21" i="15"/>
  <c r="L21" i="15"/>
  <c r="AR20" i="15"/>
  <c r="AQ20" i="15"/>
  <c r="AO20" i="15"/>
  <c r="AN20" i="15"/>
  <c r="Y20" i="15"/>
  <c r="T20" i="15"/>
  <c r="O20" i="15"/>
  <c r="Q20" i="15"/>
  <c r="J20" i="15"/>
  <c r="AR19" i="15"/>
  <c r="AQ19" i="15"/>
  <c r="AO19" i="15"/>
  <c r="AN19" i="15"/>
  <c r="Y19" i="15"/>
  <c r="T19" i="15"/>
  <c r="O19" i="15"/>
  <c r="Q19" i="15"/>
  <c r="J19" i="15"/>
  <c r="L19" i="15"/>
  <c r="AR18" i="15"/>
  <c r="AQ18" i="15"/>
  <c r="AO18" i="15"/>
  <c r="AN18" i="15"/>
  <c r="Y18" i="15"/>
  <c r="T18" i="15"/>
  <c r="O18" i="15"/>
  <c r="Q18" i="15"/>
  <c r="J18" i="15"/>
  <c r="L18" i="15"/>
  <c r="AR17" i="15"/>
  <c r="AQ17" i="15"/>
  <c r="AO17" i="15"/>
  <c r="AN17" i="15"/>
  <c r="Y17" i="15"/>
  <c r="T17" i="15"/>
  <c r="O17" i="15"/>
  <c r="Q17" i="15"/>
  <c r="J17" i="15"/>
  <c r="L17" i="15"/>
  <c r="AR16" i="15"/>
  <c r="AQ16" i="15"/>
  <c r="AO16" i="15"/>
  <c r="AN16" i="15"/>
  <c r="Y16" i="15"/>
  <c r="T16" i="15"/>
  <c r="O16" i="15"/>
  <c r="Q16" i="15"/>
  <c r="J16" i="15"/>
  <c r="AR15" i="15"/>
  <c r="AQ15" i="15"/>
  <c r="AO15" i="15"/>
  <c r="AN15" i="15"/>
  <c r="Y15" i="15"/>
  <c r="T15" i="15"/>
  <c r="O15" i="15"/>
  <c r="Q15" i="15"/>
  <c r="J15" i="15"/>
  <c r="L15" i="15"/>
  <c r="AR14" i="15"/>
  <c r="AQ14" i="15"/>
  <c r="AO14" i="15"/>
  <c r="AN14" i="15"/>
  <c r="Y14" i="15"/>
  <c r="T14" i="15"/>
  <c r="O14" i="15"/>
  <c r="Q14" i="15"/>
  <c r="J14" i="15"/>
  <c r="L14" i="15"/>
  <c r="AR13" i="15"/>
  <c r="AQ13" i="15"/>
  <c r="AO13" i="15"/>
  <c r="AN13" i="15"/>
  <c r="Y13" i="15"/>
  <c r="T13" i="15"/>
  <c r="O13" i="15"/>
  <c r="Q13" i="15"/>
  <c r="J13" i="15"/>
  <c r="L13" i="15"/>
  <c r="AR12" i="15"/>
  <c r="AQ12" i="15"/>
  <c r="AO12" i="15"/>
  <c r="AN12" i="15"/>
  <c r="Y12" i="15"/>
  <c r="T12" i="15"/>
  <c r="O12" i="15"/>
  <c r="Q12" i="15"/>
  <c r="J12" i="15"/>
  <c r="AR11" i="15"/>
  <c r="AQ11" i="15"/>
  <c r="AO11" i="15"/>
  <c r="AN11" i="15"/>
  <c r="Y11" i="15"/>
  <c r="T11" i="15"/>
  <c r="O11" i="15"/>
  <c r="Q11" i="15"/>
  <c r="J11" i="15"/>
  <c r="L11" i="15"/>
  <c r="AR10" i="15"/>
  <c r="AQ10" i="15"/>
  <c r="AO10" i="15"/>
  <c r="AN10" i="15"/>
  <c r="Y10" i="15"/>
  <c r="T10" i="15"/>
  <c r="O10" i="15"/>
  <c r="Q10" i="15"/>
  <c r="J10" i="15"/>
  <c r="L10" i="15"/>
  <c r="AR9" i="15"/>
  <c r="AQ9" i="15"/>
  <c r="AO9" i="15"/>
  <c r="AN9" i="15"/>
  <c r="Y9" i="15"/>
  <c r="T9" i="15"/>
  <c r="O9" i="15"/>
  <c r="Q9" i="15"/>
  <c r="J9" i="15"/>
  <c r="AR8" i="15"/>
  <c r="AQ8" i="15"/>
  <c r="AO8" i="15"/>
  <c r="AN8" i="15"/>
  <c r="Y8" i="15"/>
  <c r="T8" i="15"/>
  <c r="O8" i="15"/>
  <c r="Q8" i="15"/>
  <c r="J8" i="15"/>
  <c r="BB39" i="14"/>
  <c r="AW40" i="14" s="1"/>
  <c r="BA39" i="14"/>
  <c r="AX39" i="14"/>
  <c r="AR38" i="14"/>
  <c r="AQ38" i="14"/>
  <c r="AO38" i="14"/>
  <c r="AN38" i="14"/>
  <c r="Y38" i="14"/>
  <c r="T38" i="14"/>
  <c r="O38" i="14"/>
  <c r="Q38" i="14"/>
  <c r="J38" i="14"/>
  <c r="L38" i="14"/>
  <c r="AR37" i="14"/>
  <c r="AQ37" i="14"/>
  <c r="AO37" i="14"/>
  <c r="AN37" i="14"/>
  <c r="Y37" i="14"/>
  <c r="T37" i="14"/>
  <c r="O37" i="14"/>
  <c r="Q37" i="14"/>
  <c r="J37" i="14"/>
  <c r="L37" i="14"/>
  <c r="AR36" i="14"/>
  <c r="AQ36" i="14"/>
  <c r="AO36" i="14"/>
  <c r="AN36" i="14"/>
  <c r="Y36" i="14"/>
  <c r="T36" i="14"/>
  <c r="O36" i="14"/>
  <c r="Q36" i="14"/>
  <c r="J36" i="14"/>
  <c r="R36" i="14"/>
  <c r="S36" i="14"/>
  <c r="AR35" i="14"/>
  <c r="AQ35" i="14"/>
  <c r="AO35" i="14"/>
  <c r="AN35" i="14"/>
  <c r="Y35" i="14"/>
  <c r="T35" i="14"/>
  <c r="O35" i="14"/>
  <c r="Q35" i="14"/>
  <c r="J35" i="14"/>
  <c r="L35" i="14"/>
  <c r="AR34" i="14"/>
  <c r="AQ34" i="14"/>
  <c r="AO34" i="14"/>
  <c r="AN34" i="14"/>
  <c r="Y34" i="14"/>
  <c r="T34" i="14"/>
  <c r="O34" i="14"/>
  <c r="Q34" i="14"/>
  <c r="J34" i="14"/>
  <c r="L34" i="14"/>
  <c r="AR33" i="14"/>
  <c r="AQ33" i="14"/>
  <c r="AO33" i="14"/>
  <c r="AN33" i="14"/>
  <c r="Y33" i="14"/>
  <c r="T33" i="14"/>
  <c r="O33" i="14"/>
  <c r="Q33" i="14"/>
  <c r="J33" i="14"/>
  <c r="L33" i="14"/>
  <c r="AR32" i="14"/>
  <c r="AQ32" i="14"/>
  <c r="AO32" i="14"/>
  <c r="AN32" i="14"/>
  <c r="Y32" i="14"/>
  <c r="T32" i="14"/>
  <c r="O32" i="14"/>
  <c r="Q32" i="14"/>
  <c r="J32" i="14"/>
  <c r="L32" i="14"/>
  <c r="AR31" i="14"/>
  <c r="AQ31" i="14"/>
  <c r="AO31" i="14"/>
  <c r="AN31" i="14"/>
  <c r="Y31" i="14"/>
  <c r="T31" i="14"/>
  <c r="O31" i="14"/>
  <c r="Q31" i="14"/>
  <c r="J31" i="14"/>
  <c r="AR30" i="14"/>
  <c r="AQ30" i="14"/>
  <c r="AO30" i="14"/>
  <c r="AN30" i="14"/>
  <c r="Y30" i="14"/>
  <c r="T30" i="14"/>
  <c r="O30" i="14"/>
  <c r="Q30" i="14"/>
  <c r="J30" i="14"/>
  <c r="L30" i="14"/>
  <c r="AR29" i="14"/>
  <c r="AQ29" i="14"/>
  <c r="AO29" i="14"/>
  <c r="AN29" i="14"/>
  <c r="Y29" i="14"/>
  <c r="T29" i="14"/>
  <c r="O29" i="14"/>
  <c r="Q29" i="14"/>
  <c r="J29" i="14"/>
  <c r="L29" i="14"/>
  <c r="AR28" i="14"/>
  <c r="AQ28" i="14"/>
  <c r="AO28" i="14"/>
  <c r="AN28" i="14"/>
  <c r="Y28" i="14"/>
  <c r="T28" i="14"/>
  <c r="O28" i="14"/>
  <c r="Q28" i="14"/>
  <c r="J28" i="14"/>
  <c r="L28" i="14"/>
  <c r="AR27" i="14"/>
  <c r="AQ27" i="14"/>
  <c r="AO27" i="14"/>
  <c r="AN27" i="14"/>
  <c r="Y27" i="14"/>
  <c r="T27" i="14"/>
  <c r="O27" i="14"/>
  <c r="Q27" i="14"/>
  <c r="J27" i="14"/>
  <c r="L27" i="14"/>
  <c r="AR26" i="14"/>
  <c r="AQ26" i="14"/>
  <c r="AO26" i="14"/>
  <c r="AN26" i="14"/>
  <c r="Y26" i="14"/>
  <c r="T26" i="14"/>
  <c r="O26" i="14"/>
  <c r="Q26" i="14"/>
  <c r="J26" i="14"/>
  <c r="L26" i="14"/>
  <c r="AR25" i="14"/>
  <c r="AQ25" i="14"/>
  <c r="AO25" i="14"/>
  <c r="AN25" i="14"/>
  <c r="Y25" i="14"/>
  <c r="T25" i="14"/>
  <c r="O25" i="14"/>
  <c r="Q25" i="14"/>
  <c r="J25" i="14"/>
  <c r="L25" i="14"/>
  <c r="AR24" i="14"/>
  <c r="AQ24" i="14"/>
  <c r="AO24" i="14"/>
  <c r="AN24" i="14"/>
  <c r="Y24" i="14"/>
  <c r="T24" i="14"/>
  <c r="O24" i="14"/>
  <c r="Q24" i="14"/>
  <c r="J24" i="14"/>
  <c r="L24" i="14"/>
  <c r="AR23" i="14"/>
  <c r="AQ23" i="14"/>
  <c r="AO23" i="14"/>
  <c r="AN23" i="14"/>
  <c r="Y23" i="14"/>
  <c r="T23" i="14"/>
  <c r="O23" i="14"/>
  <c r="Q23" i="14"/>
  <c r="J23" i="14"/>
  <c r="L23" i="14"/>
  <c r="AR22" i="14"/>
  <c r="AQ22" i="14"/>
  <c r="AO22" i="14"/>
  <c r="AN22" i="14"/>
  <c r="Y22" i="14"/>
  <c r="T22" i="14"/>
  <c r="O22" i="14"/>
  <c r="Q22" i="14"/>
  <c r="J22" i="14"/>
  <c r="L22" i="14"/>
  <c r="AR21" i="14"/>
  <c r="AQ21" i="14"/>
  <c r="AO21" i="14"/>
  <c r="AN21" i="14"/>
  <c r="Y21" i="14"/>
  <c r="T21" i="14"/>
  <c r="O21" i="14"/>
  <c r="Q21" i="14"/>
  <c r="J21" i="14"/>
  <c r="L21" i="14"/>
  <c r="AR20" i="14"/>
  <c r="AQ20" i="14"/>
  <c r="AO20" i="14"/>
  <c r="AN20" i="14"/>
  <c r="Y20" i="14"/>
  <c r="T20" i="14"/>
  <c r="O20" i="14"/>
  <c r="Q20" i="14"/>
  <c r="L20" i="14"/>
  <c r="J20" i="14"/>
  <c r="AR19" i="14"/>
  <c r="AQ19" i="14"/>
  <c r="AO19" i="14"/>
  <c r="AN19" i="14"/>
  <c r="Y19" i="14"/>
  <c r="T19" i="14"/>
  <c r="O19" i="14"/>
  <c r="Q19" i="14"/>
  <c r="J19" i="14"/>
  <c r="L19" i="14"/>
  <c r="AR18" i="14"/>
  <c r="AQ18" i="14"/>
  <c r="AO18" i="14"/>
  <c r="AN18" i="14"/>
  <c r="Y18" i="14"/>
  <c r="T18" i="14"/>
  <c r="O18" i="14"/>
  <c r="Q18" i="14"/>
  <c r="J18" i="14"/>
  <c r="L18" i="14"/>
  <c r="AR17" i="14"/>
  <c r="AQ17" i="14"/>
  <c r="AO17" i="14"/>
  <c r="AN17" i="14"/>
  <c r="Y17" i="14"/>
  <c r="T17" i="14"/>
  <c r="O17" i="14"/>
  <c r="Q17" i="14"/>
  <c r="J17" i="14"/>
  <c r="L17" i="14"/>
  <c r="AR16" i="14"/>
  <c r="AQ16" i="14"/>
  <c r="AO16" i="14"/>
  <c r="AN16" i="14"/>
  <c r="Y16" i="14"/>
  <c r="T16" i="14"/>
  <c r="O16" i="14"/>
  <c r="Q16" i="14"/>
  <c r="J16" i="14"/>
  <c r="L16" i="14"/>
  <c r="AR15" i="14"/>
  <c r="AQ15" i="14"/>
  <c r="AO15" i="14"/>
  <c r="AN15" i="14"/>
  <c r="Y15" i="14"/>
  <c r="T15" i="14"/>
  <c r="O15" i="14"/>
  <c r="Q15" i="14"/>
  <c r="J15" i="14"/>
  <c r="L15" i="14"/>
  <c r="AR14" i="14"/>
  <c r="AQ14" i="14"/>
  <c r="AO14" i="14"/>
  <c r="AN14" i="14"/>
  <c r="Y14" i="14"/>
  <c r="T14" i="14"/>
  <c r="O14" i="14"/>
  <c r="Q14" i="14"/>
  <c r="J14" i="14"/>
  <c r="L14" i="14"/>
  <c r="AR13" i="14"/>
  <c r="AQ13" i="14"/>
  <c r="AO13" i="14"/>
  <c r="AN13" i="14"/>
  <c r="Y13" i="14"/>
  <c r="T13" i="14"/>
  <c r="O13" i="14"/>
  <c r="Q13" i="14"/>
  <c r="J13" i="14"/>
  <c r="R13" i="14"/>
  <c r="S13" i="14"/>
  <c r="U13" i="14"/>
  <c r="BF13" i="14"/>
  <c r="AR12" i="14"/>
  <c r="AQ12" i="14"/>
  <c r="AO12" i="14"/>
  <c r="AN12" i="14"/>
  <c r="Y12" i="14"/>
  <c r="T12" i="14"/>
  <c r="O12" i="14"/>
  <c r="Q12" i="14"/>
  <c r="J12" i="14"/>
  <c r="L12" i="14"/>
  <c r="AR11" i="14"/>
  <c r="AQ11" i="14"/>
  <c r="AO11" i="14"/>
  <c r="AN11" i="14"/>
  <c r="Y11" i="14"/>
  <c r="T11" i="14"/>
  <c r="O11" i="14"/>
  <c r="Q11" i="14"/>
  <c r="L11" i="14"/>
  <c r="J11" i="14"/>
  <c r="R11" i="14"/>
  <c r="S11" i="14"/>
  <c r="AR10" i="14"/>
  <c r="AQ10" i="14"/>
  <c r="AO10" i="14"/>
  <c r="AN10" i="14"/>
  <c r="Y10" i="14"/>
  <c r="T10" i="14"/>
  <c r="O10" i="14"/>
  <c r="Q10" i="14"/>
  <c r="J10" i="14"/>
  <c r="L10" i="14"/>
  <c r="AR9" i="14"/>
  <c r="AQ9" i="14"/>
  <c r="AO9" i="14"/>
  <c r="AN9" i="14"/>
  <c r="Y9" i="14"/>
  <c r="Y40" i="14" s="1"/>
  <c r="T9" i="14"/>
  <c r="O9" i="14"/>
  <c r="Q9" i="14"/>
  <c r="J9" i="14"/>
  <c r="AR8" i="14"/>
  <c r="AQ8" i="14"/>
  <c r="AO8" i="14"/>
  <c r="AN8" i="14"/>
  <c r="Y8" i="14"/>
  <c r="T8" i="14"/>
  <c r="Q8" i="14"/>
  <c r="O8" i="14"/>
  <c r="L8" i="14"/>
  <c r="J8" i="14"/>
  <c r="R8" i="14"/>
  <c r="S8" i="14"/>
  <c r="BB39" i="13"/>
  <c r="BA39" i="13"/>
  <c r="AX39" i="13"/>
  <c r="AR37" i="13"/>
  <c r="AQ37" i="13"/>
  <c r="AO37" i="13"/>
  <c r="AN37" i="13"/>
  <c r="Y37" i="13"/>
  <c r="T37" i="13"/>
  <c r="O37" i="13"/>
  <c r="Q37" i="13"/>
  <c r="J37" i="13"/>
  <c r="L37" i="13"/>
  <c r="AR36" i="13"/>
  <c r="AQ36" i="13"/>
  <c r="AO36" i="13"/>
  <c r="AN36" i="13"/>
  <c r="Y36" i="13"/>
  <c r="T36" i="13"/>
  <c r="O36" i="13"/>
  <c r="Q36" i="13"/>
  <c r="J36" i="13"/>
  <c r="L36" i="13"/>
  <c r="AR35" i="13"/>
  <c r="AQ35" i="13"/>
  <c r="AO35" i="13"/>
  <c r="AN35" i="13"/>
  <c r="Y35" i="13"/>
  <c r="T35" i="13"/>
  <c r="O35" i="13"/>
  <c r="Q35" i="13"/>
  <c r="L35" i="13"/>
  <c r="J35" i="13"/>
  <c r="AR34" i="13"/>
  <c r="AQ34" i="13"/>
  <c r="AO34" i="13"/>
  <c r="AN34" i="13"/>
  <c r="Y34" i="13"/>
  <c r="T34" i="13"/>
  <c r="O34" i="13"/>
  <c r="Q34" i="13"/>
  <c r="J34" i="13"/>
  <c r="L34" i="13"/>
  <c r="AR33" i="13"/>
  <c r="AQ33" i="13"/>
  <c r="AO33" i="13"/>
  <c r="AN33" i="13"/>
  <c r="Y33" i="13"/>
  <c r="T33" i="13"/>
  <c r="Q33" i="13"/>
  <c r="O33" i="13"/>
  <c r="L33" i="13"/>
  <c r="J33" i="13"/>
  <c r="R33" i="13"/>
  <c r="S33" i="13"/>
  <c r="U33" i="13"/>
  <c r="BF33" i="13"/>
  <c r="AR32" i="13"/>
  <c r="AQ32" i="13"/>
  <c r="AO32" i="13"/>
  <c r="AN32" i="13"/>
  <c r="Y32" i="13"/>
  <c r="T32" i="13"/>
  <c r="O32" i="13"/>
  <c r="Q32" i="13"/>
  <c r="J32" i="13"/>
  <c r="L32" i="13"/>
  <c r="AR31" i="13"/>
  <c r="AQ31" i="13"/>
  <c r="AO31" i="13"/>
  <c r="AN31" i="13"/>
  <c r="Y31" i="13"/>
  <c r="T31" i="13"/>
  <c r="O31" i="13"/>
  <c r="Q31" i="13"/>
  <c r="J31" i="13"/>
  <c r="L31" i="13"/>
  <c r="AR30" i="13"/>
  <c r="AQ30" i="13"/>
  <c r="AO30" i="13"/>
  <c r="AN30" i="13"/>
  <c r="Y30" i="13"/>
  <c r="T30" i="13"/>
  <c r="O30" i="13"/>
  <c r="Q30" i="13"/>
  <c r="J30" i="13"/>
  <c r="L30" i="13"/>
  <c r="AR29" i="13"/>
  <c r="AQ29" i="13"/>
  <c r="AO29" i="13"/>
  <c r="AN29" i="13"/>
  <c r="Y29" i="13"/>
  <c r="T29" i="13"/>
  <c r="O29" i="13"/>
  <c r="Q29" i="13"/>
  <c r="J29" i="13"/>
  <c r="AR28" i="13"/>
  <c r="AQ28" i="13"/>
  <c r="AO28" i="13"/>
  <c r="AN28" i="13"/>
  <c r="Y28" i="13"/>
  <c r="T28" i="13"/>
  <c r="O28" i="13"/>
  <c r="Q28" i="13"/>
  <c r="J28" i="13"/>
  <c r="AR27" i="13"/>
  <c r="AQ27" i="13"/>
  <c r="AO27" i="13"/>
  <c r="AN27" i="13"/>
  <c r="Y27" i="13"/>
  <c r="T27" i="13"/>
  <c r="O27" i="13"/>
  <c r="Q27" i="13"/>
  <c r="J27" i="13"/>
  <c r="L27" i="13"/>
  <c r="AR26" i="13"/>
  <c r="AQ26" i="13"/>
  <c r="AO26" i="13"/>
  <c r="AN26" i="13"/>
  <c r="Y26" i="13"/>
  <c r="T26" i="13"/>
  <c r="O26" i="13"/>
  <c r="Q26" i="13"/>
  <c r="J26" i="13"/>
  <c r="AR25" i="13"/>
  <c r="AQ25" i="13"/>
  <c r="AO25" i="13"/>
  <c r="AN25" i="13"/>
  <c r="Y25" i="13"/>
  <c r="T25" i="13"/>
  <c r="O25" i="13"/>
  <c r="Q25" i="13"/>
  <c r="J25" i="13"/>
  <c r="L25" i="13"/>
  <c r="AR24" i="13"/>
  <c r="AQ24" i="13"/>
  <c r="AO24" i="13"/>
  <c r="AN24" i="13"/>
  <c r="Y24" i="13"/>
  <c r="T24" i="13"/>
  <c r="O24" i="13"/>
  <c r="Q24" i="13"/>
  <c r="J24" i="13"/>
  <c r="L24" i="13"/>
  <c r="AR23" i="13"/>
  <c r="AQ23" i="13"/>
  <c r="AO23" i="13"/>
  <c r="AN23" i="13"/>
  <c r="Y23" i="13"/>
  <c r="T23" i="13"/>
  <c r="O23" i="13"/>
  <c r="Q23" i="13"/>
  <c r="J23" i="13"/>
  <c r="L23" i="13"/>
  <c r="AR22" i="13"/>
  <c r="AQ22" i="13"/>
  <c r="AO22" i="13"/>
  <c r="AN22" i="13"/>
  <c r="Y22" i="13"/>
  <c r="T22" i="13"/>
  <c r="O22" i="13"/>
  <c r="Q22" i="13"/>
  <c r="J22" i="13"/>
  <c r="AR21" i="13"/>
  <c r="AQ21" i="13"/>
  <c r="AO21" i="13"/>
  <c r="AN21" i="13"/>
  <c r="Y21" i="13"/>
  <c r="T21" i="13"/>
  <c r="O21" i="13"/>
  <c r="Q21" i="13"/>
  <c r="J21" i="13"/>
  <c r="L21" i="13"/>
  <c r="AR20" i="13"/>
  <c r="AQ20" i="13"/>
  <c r="AO20" i="13"/>
  <c r="AN20" i="13"/>
  <c r="Y20" i="13"/>
  <c r="T20" i="13"/>
  <c r="O20" i="13"/>
  <c r="Q20" i="13"/>
  <c r="J20" i="13"/>
  <c r="L20" i="13"/>
  <c r="AR19" i="13"/>
  <c r="AQ19" i="13"/>
  <c r="AO19" i="13"/>
  <c r="AN19" i="13"/>
  <c r="Y19" i="13"/>
  <c r="T19" i="13"/>
  <c r="O19" i="13"/>
  <c r="Q19" i="13"/>
  <c r="J19" i="13"/>
  <c r="L19" i="13"/>
  <c r="AR18" i="13"/>
  <c r="AQ18" i="13"/>
  <c r="AO18" i="13"/>
  <c r="AN18" i="13"/>
  <c r="Y18" i="13"/>
  <c r="T18" i="13"/>
  <c r="O18" i="13"/>
  <c r="Q18" i="13"/>
  <c r="J18" i="13"/>
  <c r="AR17" i="13"/>
  <c r="AQ17" i="13"/>
  <c r="AO17" i="13"/>
  <c r="AN17" i="13"/>
  <c r="Y17" i="13"/>
  <c r="T17" i="13"/>
  <c r="O17" i="13"/>
  <c r="Q17" i="13"/>
  <c r="J17" i="13"/>
  <c r="L17" i="13"/>
  <c r="AR16" i="13"/>
  <c r="AQ16" i="13"/>
  <c r="AO16" i="13"/>
  <c r="AN16" i="13"/>
  <c r="Y16" i="13"/>
  <c r="T16" i="13"/>
  <c r="O16" i="13"/>
  <c r="Q16" i="13"/>
  <c r="J16" i="13"/>
  <c r="R16" i="13"/>
  <c r="S16" i="13"/>
  <c r="AR15" i="13"/>
  <c r="AQ15" i="13"/>
  <c r="AO15" i="13"/>
  <c r="AN15" i="13"/>
  <c r="Y15" i="13"/>
  <c r="T15" i="13"/>
  <c r="O15" i="13"/>
  <c r="Q15" i="13"/>
  <c r="J15" i="13"/>
  <c r="L15" i="13"/>
  <c r="AR14" i="13"/>
  <c r="AQ14" i="13"/>
  <c r="AO14" i="13"/>
  <c r="AN14" i="13"/>
  <c r="Y14" i="13"/>
  <c r="T14" i="13"/>
  <c r="O14" i="13"/>
  <c r="Q14" i="13"/>
  <c r="J14" i="13"/>
  <c r="AR13" i="13"/>
  <c r="AQ13" i="13"/>
  <c r="AO13" i="13"/>
  <c r="AN13" i="13"/>
  <c r="Y13" i="13"/>
  <c r="T13" i="13"/>
  <c r="O13" i="13"/>
  <c r="Q13" i="13"/>
  <c r="J13" i="13"/>
  <c r="AR12" i="13"/>
  <c r="AQ12" i="13"/>
  <c r="AO12" i="13"/>
  <c r="AN12" i="13"/>
  <c r="Y12" i="13"/>
  <c r="T12" i="13"/>
  <c r="O12" i="13"/>
  <c r="Q12" i="13"/>
  <c r="J12" i="13"/>
  <c r="L12" i="13"/>
  <c r="AR11" i="13"/>
  <c r="AQ11" i="13"/>
  <c r="AO11" i="13"/>
  <c r="AN11" i="13"/>
  <c r="Y11" i="13"/>
  <c r="T11" i="13"/>
  <c r="O11" i="13"/>
  <c r="Q11" i="13"/>
  <c r="L11" i="13"/>
  <c r="J11" i="13"/>
  <c r="R11" i="13"/>
  <c r="S11" i="13"/>
  <c r="AR10" i="13"/>
  <c r="AQ10" i="13"/>
  <c r="AO10" i="13"/>
  <c r="AN10" i="13"/>
  <c r="Y10" i="13"/>
  <c r="T10" i="13"/>
  <c r="O10" i="13"/>
  <c r="Q10" i="13"/>
  <c r="J10" i="13"/>
  <c r="L10" i="13"/>
  <c r="AR9" i="13"/>
  <c r="AQ9" i="13"/>
  <c r="AO9" i="13"/>
  <c r="AN9" i="13"/>
  <c r="Y9" i="13"/>
  <c r="T9" i="13"/>
  <c r="O9" i="13"/>
  <c r="Q9" i="13"/>
  <c r="J9" i="13"/>
  <c r="R9" i="13"/>
  <c r="S9" i="13"/>
  <c r="U9" i="13"/>
  <c r="BF9" i="13"/>
  <c r="AR8" i="13"/>
  <c r="AQ8" i="13"/>
  <c r="AO8" i="13"/>
  <c r="AN8" i="13"/>
  <c r="Y8" i="13"/>
  <c r="T8" i="13"/>
  <c r="O8" i="13"/>
  <c r="Q8" i="13"/>
  <c r="J8" i="13"/>
  <c r="L8" i="13"/>
  <c r="BB39" i="12"/>
  <c r="BA39" i="12"/>
  <c r="AX39" i="12"/>
  <c r="AR38" i="12"/>
  <c r="AQ38" i="12"/>
  <c r="AO38" i="12"/>
  <c r="AN38" i="12"/>
  <c r="Y38" i="12"/>
  <c r="T38" i="12"/>
  <c r="O38" i="12"/>
  <c r="Q38" i="12"/>
  <c r="J38" i="12"/>
  <c r="L38" i="12"/>
  <c r="AR37" i="12"/>
  <c r="AQ37" i="12"/>
  <c r="AO37" i="12"/>
  <c r="AN37" i="12"/>
  <c r="Y37" i="12"/>
  <c r="T37" i="12"/>
  <c r="O37" i="12"/>
  <c r="Q37" i="12"/>
  <c r="J37" i="12"/>
  <c r="L37" i="12"/>
  <c r="AR36" i="12"/>
  <c r="AQ36" i="12"/>
  <c r="AO36" i="12"/>
  <c r="AN36" i="12"/>
  <c r="Y36" i="12"/>
  <c r="T36" i="12"/>
  <c r="O36" i="12"/>
  <c r="Q36" i="12"/>
  <c r="J36" i="12"/>
  <c r="AR35" i="12"/>
  <c r="AQ35" i="12"/>
  <c r="AO35" i="12"/>
  <c r="AN35" i="12"/>
  <c r="Y35" i="12"/>
  <c r="T35" i="12"/>
  <c r="O35" i="12"/>
  <c r="Q35" i="12"/>
  <c r="J35" i="12"/>
  <c r="R35" i="12"/>
  <c r="S35" i="12"/>
  <c r="AR34" i="12"/>
  <c r="AQ34" i="12"/>
  <c r="AO34" i="12"/>
  <c r="AN34" i="12"/>
  <c r="Y34" i="12"/>
  <c r="T34" i="12"/>
  <c r="O34" i="12"/>
  <c r="Q34" i="12"/>
  <c r="J34" i="12"/>
  <c r="L34" i="12"/>
  <c r="AR33" i="12"/>
  <c r="AQ33" i="12"/>
  <c r="AO33" i="12"/>
  <c r="AN33" i="12"/>
  <c r="Y33" i="12"/>
  <c r="T33" i="12"/>
  <c r="O33" i="12"/>
  <c r="Q33" i="12"/>
  <c r="J33" i="12"/>
  <c r="L33" i="12"/>
  <c r="AR32" i="12"/>
  <c r="AQ32" i="12"/>
  <c r="AO32" i="12"/>
  <c r="AN32" i="12"/>
  <c r="Y32" i="12"/>
  <c r="T32" i="12"/>
  <c r="O32" i="12"/>
  <c r="Q32" i="12"/>
  <c r="J32" i="12"/>
  <c r="L32" i="12"/>
  <c r="AR31" i="12"/>
  <c r="AQ31" i="12"/>
  <c r="AO31" i="12"/>
  <c r="AN31" i="12"/>
  <c r="Y31" i="12"/>
  <c r="T31" i="12"/>
  <c r="O31" i="12"/>
  <c r="Q31" i="12"/>
  <c r="J31" i="12"/>
  <c r="L31" i="12"/>
  <c r="AR30" i="12"/>
  <c r="AQ30" i="12"/>
  <c r="AO30" i="12"/>
  <c r="AN30" i="12"/>
  <c r="Y30" i="12"/>
  <c r="T30" i="12"/>
  <c r="O30" i="12"/>
  <c r="Q30" i="12"/>
  <c r="J30" i="12"/>
  <c r="L30" i="12"/>
  <c r="AR29" i="12"/>
  <c r="AQ29" i="12"/>
  <c r="AO29" i="12"/>
  <c r="AN29" i="12"/>
  <c r="Y29" i="12"/>
  <c r="T29" i="12"/>
  <c r="O29" i="12"/>
  <c r="Q29" i="12"/>
  <c r="J29" i="12"/>
  <c r="L29" i="12"/>
  <c r="AR28" i="12"/>
  <c r="AQ28" i="12"/>
  <c r="AO28" i="12"/>
  <c r="AN28" i="12"/>
  <c r="Y28" i="12"/>
  <c r="T28" i="12"/>
  <c r="O28" i="12"/>
  <c r="Q28" i="12"/>
  <c r="J28" i="12"/>
  <c r="AR27" i="12"/>
  <c r="AQ27" i="12"/>
  <c r="AO27" i="12"/>
  <c r="AN27" i="12"/>
  <c r="Y27" i="12"/>
  <c r="T27" i="12"/>
  <c r="O27" i="12"/>
  <c r="Q27" i="12"/>
  <c r="J27" i="12"/>
  <c r="L27" i="12"/>
  <c r="AR26" i="12"/>
  <c r="AQ26" i="12"/>
  <c r="AO26" i="12"/>
  <c r="AN26" i="12"/>
  <c r="Y26" i="12"/>
  <c r="T26" i="12"/>
  <c r="O26" i="12"/>
  <c r="Q26" i="12"/>
  <c r="J26" i="12"/>
  <c r="AR25" i="12"/>
  <c r="AQ25" i="12"/>
  <c r="AO25" i="12"/>
  <c r="AN25" i="12"/>
  <c r="Y25" i="12"/>
  <c r="T25" i="12"/>
  <c r="O25" i="12"/>
  <c r="Q25" i="12"/>
  <c r="J25" i="12"/>
  <c r="L25" i="12"/>
  <c r="AR24" i="12"/>
  <c r="AQ24" i="12"/>
  <c r="AO24" i="12"/>
  <c r="AN24" i="12"/>
  <c r="Y24" i="12"/>
  <c r="T24" i="12"/>
  <c r="O24" i="12"/>
  <c r="Q24" i="12"/>
  <c r="J24" i="12"/>
  <c r="AR23" i="12"/>
  <c r="AQ23" i="12"/>
  <c r="AO23" i="12"/>
  <c r="AN23" i="12"/>
  <c r="Y23" i="12"/>
  <c r="T23" i="12"/>
  <c r="O23" i="12"/>
  <c r="Q23" i="12"/>
  <c r="J23" i="12"/>
  <c r="L23" i="12"/>
  <c r="AR22" i="12"/>
  <c r="AQ22" i="12"/>
  <c r="AO22" i="12"/>
  <c r="AN22" i="12"/>
  <c r="Y22" i="12"/>
  <c r="T22" i="12"/>
  <c r="O22" i="12"/>
  <c r="Q22" i="12"/>
  <c r="J22" i="12"/>
  <c r="R22" i="12"/>
  <c r="S22" i="12"/>
  <c r="AR21" i="12"/>
  <c r="AQ21" i="12"/>
  <c r="AO21" i="12"/>
  <c r="AN21" i="12"/>
  <c r="Y21" i="12"/>
  <c r="T21" i="12"/>
  <c r="O21" i="12"/>
  <c r="Q21" i="12"/>
  <c r="J21" i="12"/>
  <c r="L21" i="12"/>
  <c r="AR20" i="12"/>
  <c r="AQ20" i="12"/>
  <c r="AO20" i="12"/>
  <c r="AN20" i="12"/>
  <c r="Y20" i="12"/>
  <c r="T20" i="12"/>
  <c r="O20" i="12"/>
  <c r="Q20" i="12"/>
  <c r="J20" i="12"/>
  <c r="AR19" i="12"/>
  <c r="AQ19" i="12"/>
  <c r="AO19" i="12"/>
  <c r="AN19" i="12"/>
  <c r="Y19" i="12"/>
  <c r="T19" i="12"/>
  <c r="O19" i="12"/>
  <c r="Q19" i="12"/>
  <c r="J19" i="12"/>
  <c r="L19" i="12"/>
  <c r="AR18" i="12"/>
  <c r="AQ18" i="12"/>
  <c r="AO18" i="12"/>
  <c r="AN18" i="12"/>
  <c r="Y18" i="12"/>
  <c r="T18" i="12"/>
  <c r="O18" i="12"/>
  <c r="Q18" i="12"/>
  <c r="J18" i="12"/>
  <c r="AR17" i="12"/>
  <c r="AQ17" i="12"/>
  <c r="AO17" i="12"/>
  <c r="AN17" i="12"/>
  <c r="Y17" i="12"/>
  <c r="T17" i="12"/>
  <c r="O17" i="12"/>
  <c r="Q17" i="12"/>
  <c r="J17" i="12"/>
  <c r="L17" i="12"/>
  <c r="AR16" i="12"/>
  <c r="AQ16" i="12"/>
  <c r="AO16" i="12"/>
  <c r="AN16" i="12"/>
  <c r="Y16" i="12"/>
  <c r="T16" i="12"/>
  <c r="O16" i="12"/>
  <c r="Q16" i="12"/>
  <c r="J16" i="12"/>
  <c r="AR15" i="12"/>
  <c r="AQ15" i="12"/>
  <c r="AO15" i="12"/>
  <c r="AN15" i="12"/>
  <c r="Y15" i="12"/>
  <c r="T15" i="12"/>
  <c r="O15" i="12"/>
  <c r="Q15" i="12"/>
  <c r="J15" i="12"/>
  <c r="L15" i="12"/>
  <c r="AR14" i="12"/>
  <c r="AQ14" i="12"/>
  <c r="AO14" i="12"/>
  <c r="AN14" i="12"/>
  <c r="Y14" i="12"/>
  <c r="T14" i="12"/>
  <c r="O14" i="12"/>
  <c r="Q14" i="12"/>
  <c r="J14" i="12"/>
  <c r="AR13" i="12"/>
  <c r="AQ13" i="12"/>
  <c r="AO13" i="12"/>
  <c r="AN13" i="12"/>
  <c r="Y13" i="12"/>
  <c r="T13" i="12"/>
  <c r="O13" i="12"/>
  <c r="Q13" i="12"/>
  <c r="J13" i="12"/>
  <c r="L13" i="12"/>
  <c r="AR12" i="12"/>
  <c r="AQ12" i="12"/>
  <c r="AO12" i="12"/>
  <c r="AN12" i="12"/>
  <c r="Y12" i="12"/>
  <c r="T12" i="12"/>
  <c r="O12" i="12"/>
  <c r="Q12" i="12"/>
  <c r="J12" i="12"/>
  <c r="L12" i="12"/>
  <c r="AR11" i="12"/>
  <c r="AQ11" i="12"/>
  <c r="AO11" i="12"/>
  <c r="AN11" i="12"/>
  <c r="Y11" i="12"/>
  <c r="T11" i="12"/>
  <c r="O11" i="12"/>
  <c r="Q11" i="12"/>
  <c r="J11" i="12"/>
  <c r="R11" i="12"/>
  <c r="S11" i="12"/>
  <c r="U11" i="12"/>
  <c r="BF11" i="12"/>
  <c r="AR10" i="12"/>
  <c r="AQ10" i="12"/>
  <c r="AO10" i="12"/>
  <c r="AN10" i="12"/>
  <c r="Y10" i="12"/>
  <c r="T10" i="12"/>
  <c r="O10" i="12"/>
  <c r="Q10" i="12"/>
  <c r="J10" i="12"/>
  <c r="L10" i="12"/>
  <c r="AR9" i="12"/>
  <c r="AQ9" i="12"/>
  <c r="AO9" i="12"/>
  <c r="AN9" i="12"/>
  <c r="Y9" i="12"/>
  <c r="T9" i="12"/>
  <c r="O9" i="12"/>
  <c r="Q9" i="12"/>
  <c r="J9" i="12"/>
  <c r="AR8" i="12"/>
  <c r="AQ8" i="12"/>
  <c r="AO8" i="12"/>
  <c r="AN8" i="12"/>
  <c r="Y8" i="12"/>
  <c r="Y40" i="12" s="1"/>
  <c r="T8" i="12"/>
  <c r="O8" i="12"/>
  <c r="Q8" i="12"/>
  <c r="J8" i="12"/>
  <c r="L8" i="12"/>
  <c r="BB39" i="11"/>
  <c r="BA39" i="11"/>
  <c r="AX39" i="11"/>
  <c r="AR38" i="11"/>
  <c r="AQ38" i="11"/>
  <c r="AO38" i="11"/>
  <c r="AN38" i="11"/>
  <c r="Y38" i="11"/>
  <c r="T38" i="11"/>
  <c r="O38" i="11"/>
  <c r="Q38" i="11"/>
  <c r="J38" i="11"/>
  <c r="AR37" i="11"/>
  <c r="AQ37" i="11"/>
  <c r="AO37" i="11"/>
  <c r="AN37" i="11"/>
  <c r="Y37" i="11"/>
  <c r="T37" i="11"/>
  <c r="O37" i="11"/>
  <c r="Q37" i="11"/>
  <c r="J37" i="11"/>
  <c r="L37" i="11"/>
  <c r="AR36" i="11"/>
  <c r="AQ36" i="11"/>
  <c r="AO36" i="11"/>
  <c r="AN36" i="11"/>
  <c r="Y36" i="11"/>
  <c r="T36" i="11"/>
  <c r="O36" i="11"/>
  <c r="Q36" i="11"/>
  <c r="J36" i="11"/>
  <c r="L36" i="11"/>
  <c r="AR35" i="11"/>
  <c r="AQ35" i="11"/>
  <c r="AO35" i="11"/>
  <c r="AN35" i="11"/>
  <c r="Y35" i="11"/>
  <c r="T35" i="11"/>
  <c r="O35" i="11"/>
  <c r="Q35" i="11"/>
  <c r="J35" i="11"/>
  <c r="AR34" i="11"/>
  <c r="AQ34" i="11"/>
  <c r="AO34" i="11"/>
  <c r="AN34" i="11"/>
  <c r="Y34" i="11"/>
  <c r="T34" i="11"/>
  <c r="O34" i="11"/>
  <c r="Q34" i="11"/>
  <c r="J34" i="11"/>
  <c r="L34" i="11"/>
  <c r="AR33" i="11"/>
  <c r="AQ33" i="11"/>
  <c r="AO33" i="11"/>
  <c r="AN33" i="11"/>
  <c r="Y33" i="11"/>
  <c r="T33" i="11"/>
  <c r="O33" i="11"/>
  <c r="Q33" i="11"/>
  <c r="J33" i="11"/>
  <c r="R33" i="11"/>
  <c r="S33" i="11"/>
  <c r="AR32" i="11"/>
  <c r="AQ32" i="11"/>
  <c r="AO32" i="11"/>
  <c r="AN32" i="11"/>
  <c r="Y32" i="11"/>
  <c r="T32" i="11"/>
  <c r="O32" i="11"/>
  <c r="Q32" i="11"/>
  <c r="J32" i="11"/>
  <c r="L32" i="11"/>
  <c r="AR31" i="11"/>
  <c r="AQ31" i="11"/>
  <c r="AO31" i="11"/>
  <c r="AN31" i="11"/>
  <c r="Y31" i="11"/>
  <c r="T31" i="11"/>
  <c r="O31" i="11"/>
  <c r="Q31" i="11"/>
  <c r="J31" i="11"/>
  <c r="L31" i="11"/>
  <c r="AR30" i="11"/>
  <c r="AQ30" i="11"/>
  <c r="AO30" i="11"/>
  <c r="AN30" i="11"/>
  <c r="Y30" i="11"/>
  <c r="T30" i="11"/>
  <c r="O30" i="11"/>
  <c r="Q30" i="11"/>
  <c r="J30" i="11"/>
  <c r="L30" i="11"/>
  <c r="AR29" i="11"/>
  <c r="AQ29" i="11"/>
  <c r="AO29" i="11"/>
  <c r="AN29" i="11"/>
  <c r="Y29" i="11"/>
  <c r="T29" i="11"/>
  <c r="O29" i="11"/>
  <c r="Q29" i="11"/>
  <c r="J29" i="11"/>
  <c r="R29" i="11"/>
  <c r="S29" i="11"/>
  <c r="AR28" i="11"/>
  <c r="AQ28" i="11"/>
  <c r="AO28" i="11"/>
  <c r="AN28" i="11"/>
  <c r="Y28" i="11"/>
  <c r="T28" i="11"/>
  <c r="O28" i="11"/>
  <c r="Q28" i="11"/>
  <c r="J28" i="11"/>
  <c r="AR27" i="11"/>
  <c r="AQ27" i="11"/>
  <c r="AO27" i="11"/>
  <c r="AN27" i="11"/>
  <c r="Y27" i="11"/>
  <c r="T27" i="11"/>
  <c r="O27" i="11"/>
  <c r="Q27" i="11"/>
  <c r="J27" i="11"/>
  <c r="L27" i="11"/>
  <c r="AR26" i="11"/>
  <c r="AQ26" i="11"/>
  <c r="AO26" i="11"/>
  <c r="AN26" i="11"/>
  <c r="Y26" i="11"/>
  <c r="T26" i="11"/>
  <c r="O26" i="11"/>
  <c r="Q26" i="11"/>
  <c r="J26" i="11"/>
  <c r="AR25" i="11"/>
  <c r="AQ25" i="11"/>
  <c r="AO25" i="11"/>
  <c r="AN25" i="11"/>
  <c r="Y25" i="11"/>
  <c r="T25" i="11"/>
  <c r="O25" i="11"/>
  <c r="Q25" i="11"/>
  <c r="J25" i="11"/>
  <c r="L25" i="11"/>
  <c r="AR24" i="11"/>
  <c r="AQ24" i="11"/>
  <c r="AO24" i="11"/>
  <c r="AN24" i="11"/>
  <c r="Y24" i="11"/>
  <c r="T24" i="11"/>
  <c r="O24" i="11"/>
  <c r="Q24" i="11"/>
  <c r="J24" i="11"/>
  <c r="AR23" i="11"/>
  <c r="AQ23" i="11"/>
  <c r="AO23" i="11"/>
  <c r="AN23" i="11"/>
  <c r="Y23" i="11"/>
  <c r="T23" i="11"/>
  <c r="O23" i="11"/>
  <c r="Q23" i="11"/>
  <c r="J23" i="11"/>
  <c r="L23" i="11"/>
  <c r="AR22" i="11"/>
  <c r="AQ22" i="11"/>
  <c r="AO22" i="11"/>
  <c r="AN22" i="11"/>
  <c r="Y22" i="11"/>
  <c r="T22" i="11"/>
  <c r="O22" i="11"/>
  <c r="Q22" i="11"/>
  <c r="J22" i="11"/>
  <c r="AR21" i="11"/>
  <c r="AQ21" i="11"/>
  <c r="AO21" i="11"/>
  <c r="AN21" i="11"/>
  <c r="Y21" i="11"/>
  <c r="T21" i="11"/>
  <c r="O21" i="11"/>
  <c r="Q21" i="11"/>
  <c r="J21" i="11"/>
  <c r="L21" i="11"/>
  <c r="AR20" i="11"/>
  <c r="AQ20" i="11"/>
  <c r="AO20" i="11"/>
  <c r="AN20" i="11"/>
  <c r="Y20" i="11"/>
  <c r="T20" i="11"/>
  <c r="O20" i="11"/>
  <c r="Q20" i="11"/>
  <c r="J20" i="11"/>
  <c r="R20" i="11"/>
  <c r="S20" i="11"/>
  <c r="AR19" i="11"/>
  <c r="AQ19" i="11"/>
  <c r="AO19" i="11"/>
  <c r="AN19" i="11"/>
  <c r="Y19" i="11"/>
  <c r="T19" i="11"/>
  <c r="O19" i="11"/>
  <c r="Q19" i="11"/>
  <c r="J19" i="11"/>
  <c r="L19" i="11"/>
  <c r="AR18" i="11"/>
  <c r="AQ18" i="11"/>
  <c r="AO18" i="11"/>
  <c r="AN18" i="11"/>
  <c r="Y18" i="11"/>
  <c r="T18" i="11"/>
  <c r="O18" i="11"/>
  <c r="Q18" i="11"/>
  <c r="J18" i="11"/>
  <c r="AR17" i="11"/>
  <c r="AQ17" i="11"/>
  <c r="AO17" i="11"/>
  <c r="AN17" i="11"/>
  <c r="Y17" i="11"/>
  <c r="T17" i="11"/>
  <c r="O17" i="11"/>
  <c r="Q17" i="11"/>
  <c r="J17" i="11"/>
  <c r="L17" i="11"/>
  <c r="AR16" i="11"/>
  <c r="AQ16" i="11"/>
  <c r="AO16" i="11"/>
  <c r="AN16" i="11"/>
  <c r="Y16" i="11"/>
  <c r="T16" i="11"/>
  <c r="O16" i="11"/>
  <c r="Q16" i="11"/>
  <c r="J16" i="11"/>
  <c r="AR15" i="11"/>
  <c r="AQ15" i="11"/>
  <c r="AO15" i="11"/>
  <c r="AN15" i="11"/>
  <c r="Y15" i="11"/>
  <c r="T15" i="11"/>
  <c r="O15" i="11"/>
  <c r="Q15" i="11"/>
  <c r="J15" i="11"/>
  <c r="L15" i="11"/>
  <c r="AR14" i="11"/>
  <c r="AQ14" i="11"/>
  <c r="AO14" i="11"/>
  <c r="AN14" i="11"/>
  <c r="Y14" i="11"/>
  <c r="T14" i="11"/>
  <c r="O14" i="11"/>
  <c r="Q14" i="11"/>
  <c r="J14" i="11"/>
  <c r="L14" i="11"/>
  <c r="AR13" i="11"/>
  <c r="AQ13" i="11"/>
  <c r="AO13" i="11"/>
  <c r="AN13" i="11"/>
  <c r="Y13" i="11"/>
  <c r="T13" i="11"/>
  <c r="O13" i="11"/>
  <c r="Q13" i="11"/>
  <c r="J13" i="11"/>
  <c r="L13" i="11"/>
  <c r="AR12" i="11"/>
  <c r="AQ12" i="11"/>
  <c r="AO12" i="11"/>
  <c r="AN12" i="11"/>
  <c r="Y12" i="11"/>
  <c r="T12" i="11"/>
  <c r="O12" i="11"/>
  <c r="Q12" i="11"/>
  <c r="J12" i="11"/>
  <c r="L12" i="11"/>
  <c r="AR11" i="11"/>
  <c r="AQ11" i="11"/>
  <c r="AO11" i="11"/>
  <c r="AN11" i="11"/>
  <c r="Y11" i="11"/>
  <c r="T11" i="11"/>
  <c r="O11" i="11"/>
  <c r="Q11" i="11"/>
  <c r="J11" i="11"/>
  <c r="AR10" i="11"/>
  <c r="AQ10" i="11"/>
  <c r="AO10" i="11"/>
  <c r="AN10" i="11"/>
  <c r="Y10" i="11"/>
  <c r="T10" i="11"/>
  <c r="O10" i="11"/>
  <c r="Q10" i="11"/>
  <c r="J10" i="11"/>
  <c r="L10" i="11"/>
  <c r="AR9" i="11"/>
  <c r="AQ9" i="11"/>
  <c r="AO9" i="11"/>
  <c r="AN9" i="11"/>
  <c r="Y9" i="11"/>
  <c r="T9" i="11"/>
  <c r="O9" i="11"/>
  <c r="Q9" i="11"/>
  <c r="J9" i="11"/>
  <c r="L9" i="11"/>
  <c r="AR8" i="11"/>
  <c r="AQ8" i="11"/>
  <c r="AO8" i="11"/>
  <c r="AN8" i="11"/>
  <c r="Y8" i="11"/>
  <c r="T8" i="11"/>
  <c r="O8" i="11"/>
  <c r="Q8" i="11"/>
  <c r="J8" i="11"/>
  <c r="L8" i="11"/>
  <c r="BB39" i="10"/>
  <c r="BA39" i="10"/>
  <c r="AX39" i="10"/>
  <c r="AR37" i="10"/>
  <c r="AQ37" i="10"/>
  <c r="AO37" i="10"/>
  <c r="AN37" i="10"/>
  <c r="Y37" i="10"/>
  <c r="T37" i="10"/>
  <c r="O37" i="10"/>
  <c r="Q37" i="10"/>
  <c r="J37" i="10"/>
  <c r="L37" i="10"/>
  <c r="AR36" i="10"/>
  <c r="AQ36" i="10"/>
  <c r="AO36" i="10"/>
  <c r="AN36" i="10"/>
  <c r="Y36" i="10"/>
  <c r="T36" i="10"/>
  <c r="O36" i="10"/>
  <c r="Q36" i="10"/>
  <c r="L36" i="10"/>
  <c r="J36" i="10"/>
  <c r="AR35" i="10"/>
  <c r="AQ35" i="10"/>
  <c r="AO35" i="10"/>
  <c r="AN35" i="10"/>
  <c r="Y35" i="10"/>
  <c r="T35" i="10"/>
  <c r="O35" i="10"/>
  <c r="Q35" i="10"/>
  <c r="J35" i="10"/>
  <c r="AR34" i="10"/>
  <c r="AQ34" i="10"/>
  <c r="AO34" i="10"/>
  <c r="AN34" i="10"/>
  <c r="Y34" i="10"/>
  <c r="T34" i="10"/>
  <c r="O34" i="10"/>
  <c r="Q34" i="10"/>
  <c r="J34" i="10"/>
  <c r="L34" i="10"/>
  <c r="AR33" i="10"/>
  <c r="AQ33" i="10"/>
  <c r="AO33" i="10"/>
  <c r="AN33" i="10"/>
  <c r="Y33" i="10"/>
  <c r="T33" i="10"/>
  <c r="O33" i="10"/>
  <c r="Q33" i="10"/>
  <c r="J33" i="10"/>
  <c r="L33" i="10"/>
  <c r="AR32" i="10"/>
  <c r="AQ32" i="10"/>
  <c r="AO32" i="10"/>
  <c r="AN32" i="10"/>
  <c r="Y32" i="10"/>
  <c r="T32" i="10"/>
  <c r="O32" i="10"/>
  <c r="Q32" i="10"/>
  <c r="J32" i="10"/>
  <c r="L32" i="10"/>
  <c r="AR31" i="10"/>
  <c r="AQ31" i="10"/>
  <c r="AO31" i="10"/>
  <c r="AN31" i="10"/>
  <c r="Y31" i="10"/>
  <c r="T31" i="10"/>
  <c r="O31" i="10"/>
  <c r="Q31" i="10"/>
  <c r="J31" i="10"/>
  <c r="AR30" i="10"/>
  <c r="AQ30" i="10"/>
  <c r="AO30" i="10"/>
  <c r="AN30" i="10"/>
  <c r="Y30" i="10"/>
  <c r="T30" i="10"/>
  <c r="O30" i="10"/>
  <c r="Q30" i="10"/>
  <c r="J30" i="10"/>
  <c r="L30" i="10"/>
  <c r="AR29" i="10"/>
  <c r="AQ29" i="10"/>
  <c r="AO29" i="10"/>
  <c r="AN29" i="10"/>
  <c r="Y29" i="10"/>
  <c r="T29" i="10"/>
  <c r="O29" i="10"/>
  <c r="Q29" i="10"/>
  <c r="J29" i="10"/>
  <c r="R29" i="10"/>
  <c r="S29" i="10"/>
  <c r="AR28" i="10"/>
  <c r="AQ28" i="10"/>
  <c r="AO28" i="10"/>
  <c r="AN28" i="10"/>
  <c r="Y28" i="10"/>
  <c r="T28" i="10"/>
  <c r="O28" i="10"/>
  <c r="Q28" i="10"/>
  <c r="J28" i="10"/>
  <c r="L28" i="10"/>
  <c r="AR27" i="10"/>
  <c r="AQ27" i="10"/>
  <c r="AO27" i="10"/>
  <c r="AN27" i="10"/>
  <c r="Y27" i="10"/>
  <c r="T27" i="10"/>
  <c r="O27" i="10"/>
  <c r="Q27" i="10"/>
  <c r="J27" i="10"/>
  <c r="L27" i="10"/>
  <c r="AR26" i="10"/>
  <c r="AQ26" i="10"/>
  <c r="AO26" i="10"/>
  <c r="AN26" i="10"/>
  <c r="Y26" i="10"/>
  <c r="T26" i="10"/>
  <c r="O26" i="10"/>
  <c r="Q26" i="10"/>
  <c r="J26" i="10"/>
  <c r="R26" i="10"/>
  <c r="S26" i="10"/>
  <c r="U26" i="10"/>
  <c r="BF26" i="10"/>
  <c r="AR25" i="10"/>
  <c r="AQ25" i="10"/>
  <c r="AO25" i="10"/>
  <c r="AN25" i="10"/>
  <c r="Y25" i="10"/>
  <c r="T25" i="10"/>
  <c r="O25" i="10"/>
  <c r="Q25" i="10"/>
  <c r="J25" i="10"/>
  <c r="L25" i="10"/>
  <c r="AR24" i="10"/>
  <c r="AQ24" i="10"/>
  <c r="AO24" i="10"/>
  <c r="AN24" i="10"/>
  <c r="Y24" i="10"/>
  <c r="T24" i="10"/>
  <c r="O24" i="10"/>
  <c r="Q24" i="10"/>
  <c r="J24" i="10"/>
  <c r="AR23" i="10"/>
  <c r="AQ23" i="10"/>
  <c r="AO23" i="10"/>
  <c r="AN23" i="10"/>
  <c r="Y23" i="10"/>
  <c r="T23" i="10"/>
  <c r="O23" i="10"/>
  <c r="Q23" i="10"/>
  <c r="J23" i="10"/>
  <c r="L23" i="10"/>
  <c r="AR22" i="10"/>
  <c r="AQ22" i="10"/>
  <c r="AO22" i="10"/>
  <c r="AN22" i="10"/>
  <c r="Y22" i="10"/>
  <c r="T22" i="10"/>
  <c r="O22" i="10"/>
  <c r="Q22" i="10"/>
  <c r="J22" i="10"/>
  <c r="R22" i="10"/>
  <c r="S22" i="10"/>
  <c r="U22" i="10"/>
  <c r="BF22" i="10"/>
  <c r="AR21" i="10"/>
  <c r="AQ21" i="10"/>
  <c r="AO21" i="10"/>
  <c r="AN21" i="10"/>
  <c r="Y21" i="10"/>
  <c r="T21" i="10"/>
  <c r="O21" i="10"/>
  <c r="Q21" i="10"/>
  <c r="J21" i="10"/>
  <c r="L21" i="10"/>
  <c r="AR20" i="10"/>
  <c r="AQ20" i="10"/>
  <c r="AO20" i="10"/>
  <c r="AN20" i="10"/>
  <c r="Y20" i="10"/>
  <c r="T20" i="10"/>
  <c r="O20" i="10"/>
  <c r="Q20" i="10"/>
  <c r="J20" i="10"/>
  <c r="R20" i="10"/>
  <c r="S20" i="10"/>
  <c r="AR19" i="10"/>
  <c r="AQ19" i="10"/>
  <c r="AO19" i="10"/>
  <c r="AN19" i="10"/>
  <c r="Y19" i="10"/>
  <c r="T19" i="10"/>
  <c r="O19" i="10"/>
  <c r="Q19" i="10"/>
  <c r="J19" i="10"/>
  <c r="L19" i="10"/>
  <c r="AR18" i="10"/>
  <c r="AQ18" i="10"/>
  <c r="AO18" i="10"/>
  <c r="AN18" i="10"/>
  <c r="Y18" i="10"/>
  <c r="T18" i="10"/>
  <c r="O18" i="10"/>
  <c r="Q18" i="10"/>
  <c r="J18" i="10"/>
  <c r="R18" i="10"/>
  <c r="S18" i="10"/>
  <c r="U18" i="10"/>
  <c r="BF18" i="10"/>
  <c r="AR17" i="10"/>
  <c r="AQ17" i="10"/>
  <c r="AO17" i="10"/>
  <c r="AN17" i="10"/>
  <c r="Y17" i="10"/>
  <c r="T17" i="10"/>
  <c r="O17" i="10"/>
  <c r="Q17" i="10"/>
  <c r="J17" i="10"/>
  <c r="L17" i="10"/>
  <c r="AR16" i="10"/>
  <c r="AQ16" i="10"/>
  <c r="AO16" i="10"/>
  <c r="AN16" i="10"/>
  <c r="Y16" i="10"/>
  <c r="T16" i="10"/>
  <c r="O16" i="10"/>
  <c r="Q16" i="10"/>
  <c r="J16" i="10"/>
  <c r="R16" i="10"/>
  <c r="S16" i="10"/>
  <c r="AR15" i="10"/>
  <c r="AQ15" i="10"/>
  <c r="AO15" i="10"/>
  <c r="AN15" i="10"/>
  <c r="Y15" i="10"/>
  <c r="T15" i="10"/>
  <c r="O15" i="10"/>
  <c r="Q15" i="10"/>
  <c r="J15" i="10"/>
  <c r="L15" i="10"/>
  <c r="AR14" i="10"/>
  <c r="AQ14" i="10"/>
  <c r="AO14" i="10"/>
  <c r="AN14" i="10"/>
  <c r="Y14" i="10"/>
  <c r="T14" i="10"/>
  <c r="O14" i="10"/>
  <c r="Q14" i="10"/>
  <c r="J14" i="10"/>
  <c r="R14" i="10"/>
  <c r="S14" i="10"/>
  <c r="U14" i="10"/>
  <c r="BF14" i="10"/>
  <c r="AR13" i="10"/>
  <c r="AQ13" i="10"/>
  <c r="AO13" i="10"/>
  <c r="AN13" i="10"/>
  <c r="Y13" i="10"/>
  <c r="T13" i="10"/>
  <c r="O13" i="10"/>
  <c r="Q13" i="10"/>
  <c r="L13" i="10"/>
  <c r="J13" i="10"/>
  <c r="R13" i="10"/>
  <c r="S13" i="10"/>
  <c r="AR12" i="10"/>
  <c r="AQ12" i="10"/>
  <c r="AO12" i="10"/>
  <c r="AN12" i="10"/>
  <c r="Y12" i="10"/>
  <c r="T12" i="10"/>
  <c r="O12" i="10"/>
  <c r="Q12" i="10"/>
  <c r="J12" i="10"/>
  <c r="L12" i="10"/>
  <c r="AR11" i="10"/>
  <c r="AQ11" i="10"/>
  <c r="AO11" i="10"/>
  <c r="AN11" i="10"/>
  <c r="Y11" i="10"/>
  <c r="T11" i="10"/>
  <c r="O11" i="10"/>
  <c r="Q11" i="10"/>
  <c r="J11" i="10"/>
  <c r="L11" i="10"/>
  <c r="AR10" i="10"/>
  <c r="AQ10" i="10"/>
  <c r="AO10" i="10"/>
  <c r="AN10" i="10"/>
  <c r="Y10" i="10"/>
  <c r="T10" i="10"/>
  <c r="O10" i="10"/>
  <c r="Q10" i="10"/>
  <c r="J10" i="10"/>
  <c r="L10" i="10"/>
  <c r="AR9" i="10"/>
  <c r="AQ9" i="10"/>
  <c r="AO9" i="10"/>
  <c r="AN9" i="10"/>
  <c r="Y9" i="10"/>
  <c r="Y40" i="10" s="1"/>
  <c r="T9" i="10"/>
  <c r="O9" i="10"/>
  <c r="Q9" i="10"/>
  <c r="J9" i="10"/>
  <c r="AR8" i="10"/>
  <c r="AQ8" i="10"/>
  <c r="AO8" i="10"/>
  <c r="AN8" i="10"/>
  <c r="Y8" i="10"/>
  <c r="T8" i="10"/>
  <c r="O8" i="10"/>
  <c r="Q8" i="10"/>
  <c r="L8" i="10"/>
  <c r="J8" i="10"/>
  <c r="BB39" i="9"/>
  <c r="BA39" i="9"/>
  <c r="AX39" i="9"/>
  <c r="AR38" i="9"/>
  <c r="AQ38" i="9"/>
  <c r="AO38" i="9"/>
  <c r="AN38" i="9"/>
  <c r="Y38" i="9"/>
  <c r="T38" i="9"/>
  <c r="O38" i="9"/>
  <c r="Q38" i="9"/>
  <c r="J38" i="9"/>
  <c r="AR37" i="9"/>
  <c r="AQ37" i="9"/>
  <c r="AO37" i="9"/>
  <c r="AN37" i="9"/>
  <c r="Y37" i="9"/>
  <c r="T37" i="9"/>
  <c r="O37" i="9"/>
  <c r="Q37" i="9"/>
  <c r="J37" i="9"/>
  <c r="L37" i="9"/>
  <c r="AR36" i="9"/>
  <c r="AQ36" i="9"/>
  <c r="AO36" i="9"/>
  <c r="AN36" i="9"/>
  <c r="Y36" i="9"/>
  <c r="T36" i="9"/>
  <c r="O36" i="9"/>
  <c r="Q36" i="9"/>
  <c r="J36" i="9"/>
  <c r="R36" i="9"/>
  <c r="S36" i="9"/>
  <c r="U36" i="9"/>
  <c r="BF36" i="9"/>
  <c r="AR35" i="9"/>
  <c r="AQ35" i="9"/>
  <c r="AO35" i="9"/>
  <c r="AN35" i="9"/>
  <c r="Y35" i="9"/>
  <c r="T35" i="9"/>
  <c r="O35" i="9"/>
  <c r="Q35" i="9"/>
  <c r="J35" i="9"/>
  <c r="L35" i="9"/>
  <c r="AR34" i="9"/>
  <c r="AQ34" i="9"/>
  <c r="AO34" i="9"/>
  <c r="AN34" i="9"/>
  <c r="Y34" i="9"/>
  <c r="T34" i="9"/>
  <c r="O34" i="9"/>
  <c r="Q34" i="9"/>
  <c r="J34" i="9"/>
  <c r="L34" i="9"/>
  <c r="AR33" i="9"/>
  <c r="AQ33" i="9"/>
  <c r="AO33" i="9"/>
  <c r="AN33" i="9"/>
  <c r="Y33" i="9"/>
  <c r="T33" i="9"/>
  <c r="O33" i="9"/>
  <c r="Q33" i="9"/>
  <c r="J33" i="9"/>
  <c r="AR32" i="9"/>
  <c r="AQ32" i="9"/>
  <c r="AO32" i="9"/>
  <c r="AN32" i="9"/>
  <c r="Y32" i="9"/>
  <c r="T32" i="9"/>
  <c r="O32" i="9"/>
  <c r="Q32" i="9"/>
  <c r="J32" i="9"/>
  <c r="L32" i="9"/>
  <c r="AR31" i="9"/>
  <c r="AQ31" i="9"/>
  <c r="AO31" i="9"/>
  <c r="AN31" i="9"/>
  <c r="Y31" i="9"/>
  <c r="T31" i="9"/>
  <c r="O31" i="9"/>
  <c r="Q31" i="9"/>
  <c r="J31" i="9"/>
  <c r="AR30" i="9"/>
  <c r="AQ30" i="9"/>
  <c r="AO30" i="9"/>
  <c r="AN30" i="9"/>
  <c r="Y30" i="9"/>
  <c r="T30" i="9"/>
  <c r="O30" i="9"/>
  <c r="Q30" i="9"/>
  <c r="J30" i="9"/>
  <c r="L30" i="9"/>
  <c r="AR29" i="9"/>
  <c r="AQ29" i="9"/>
  <c r="AO29" i="9"/>
  <c r="AN29" i="9"/>
  <c r="Y29" i="9"/>
  <c r="T29" i="9"/>
  <c r="O29" i="9"/>
  <c r="Q29" i="9"/>
  <c r="J29" i="9"/>
  <c r="L29" i="9"/>
  <c r="AR28" i="9"/>
  <c r="AQ28" i="9"/>
  <c r="AO28" i="9"/>
  <c r="AN28" i="9"/>
  <c r="Y28" i="9"/>
  <c r="T28" i="9"/>
  <c r="O28" i="9"/>
  <c r="Q28" i="9"/>
  <c r="L28" i="9"/>
  <c r="J28" i="9"/>
  <c r="AR27" i="9"/>
  <c r="AQ27" i="9"/>
  <c r="AO27" i="9"/>
  <c r="AN27" i="9"/>
  <c r="Y27" i="9"/>
  <c r="T27" i="9"/>
  <c r="O27" i="9"/>
  <c r="Q27" i="9"/>
  <c r="J27" i="9"/>
  <c r="L27" i="9"/>
  <c r="AR26" i="9"/>
  <c r="AQ26" i="9"/>
  <c r="AO26" i="9"/>
  <c r="AN26" i="9"/>
  <c r="Y26" i="9"/>
  <c r="T26" i="9"/>
  <c r="O26" i="9"/>
  <c r="Q26" i="9"/>
  <c r="J26" i="9"/>
  <c r="AR25" i="9"/>
  <c r="AQ25" i="9"/>
  <c r="AO25" i="9"/>
  <c r="AN25" i="9"/>
  <c r="Y25" i="9"/>
  <c r="T25" i="9"/>
  <c r="O25" i="9"/>
  <c r="Q25" i="9"/>
  <c r="J25" i="9"/>
  <c r="L25" i="9"/>
  <c r="AR24" i="9"/>
  <c r="AQ24" i="9"/>
  <c r="AO24" i="9"/>
  <c r="AN24" i="9"/>
  <c r="Y24" i="9"/>
  <c r="T24" i="9"/>
  <c r="O24" i="9"/>
  <c r="Q24" i="9"/>
  <c r="J24" i="9"/>
  <c r="L24" i="9"/>
  <c r="AR23" i="9"/>
  <c r="AQ23" i="9"/>
  <c r="AO23" i="9"/>
  <c r="AN23" i="9"/>
  <c r="Y23" i="9"/>
  <c r="T23" i="9"/>
  <c r="O23" i="9"/>
  <c r="Q23" i="9"/>
  <c r="J23" i="9"/>
  <c r="L23" i="9"/>
  <c r="AR22" i="9"/>
  <c r="AQ22" i="9"/>
  <c r="AO22" i="9"/>
  <c r="AN22" i="9"/>
  <c r="Y22" i="9"/>
  <c r="T22" i="9"/>
  <c r="O22" i="9"/>
  <c r="Q22" i="9"/>
  <c r="J22" i="9"/>
  <c r="R22" i="9"/>
  <c r="S22" i="9"/>
  <c r="AR21" i="9"/>
  <c r="AQ21" i="9"/>
  <c r="AO21" i="9"/>
  <c r="AN21" i="9"/>
  <c r="Y21" i="9"/>
  <c r="T21" i="9"/>
  <c r="O21" i="9"/>
  <c r="Q21" i="9"/>
  <c r="J21" i="9"/>
  <c r="L21" i="9"/>
  <c r="AR20" i="9"/>
  <c r="AQ20" i="9"/>
  <c r="AO20" i="9"/>
  <c r="AN20" i="9"/>
  <c r="Y20" i="9"/>
  <c r="T20" i="9"/>
  <c r="O20" i="9"/>
  <c r="Q20" i="9"/>
  <c r="J20" i="9"/>
  <c r="L20" i="9"/>
  <c r="AR19" i="9"/>
  <c r="AQ19" i="9"/>
  <c r="AO19" i="9"/>
  <c r="AN19" i="9"/>
  <c r="Y19" i="9"/>
  <c r="T19" i="9"/>
  <c r="O19" i="9"/>
  <c r="Q19" i="9"/>
  <c r="J19" i="9"/>
  <c r="R19" i="9"/>
  <c r="S19" i="9"/>
  <c r="AR18" i="9"/>
  <c r="AQ18" i="9"/>
  <c r="AO18" i="9"/>
  <c r="AN18" i="9"/>
  <c r="Y18" i="9"/>
  <c r="T18" i="9"/>
  <c r="O18" i="9"/>
  <c r="Q18" i="9"/>
  <c r="J18" i="9"/>
  <c r="L18" i="9"/>
  <c r="AR17" i="9"/>
  <c r="AQ17" i="9"/>
  <c r="AO17" i="9"/>
  <c r="AN17" i="9"/>
  <c r="Y17" i="9"/>
  <c r="T17" i="9"/>
  <c r="O17" i="9"/>
  <c r="Q17" i="9"/>
  <c r="J17" i="9"/>
  <c r="R17" i="9"/>
  <c r="S17" i="9"/>
  <c r="AR16" i="9"/>
  <c r="AQ16" i="9"/>
  <c r="AO16" i="9"/>
  <c r="AN16" i="9"/>
  <c r="Y16" i="9"/>
  <c r="T16" i="9"/>
  <c r="O16" i="9"/>
  <c r="Q16" i="9"/>
  <c r="J16" i="9"/>
  <c r="L16" i="9"/>
  <c r="AR15" i="9"/>
  <c r="AQ15" i="9"/>
  <c r="AO15" i="9"/>
  <c r="AN15" i="9"/>
  <c r="Y15" i="9"/>
  <c r="T15" i="9"/>
  <c r="O15" i="9"/>
  <c r="Q15" i="9"/>
  <c r="J15" i="9"/>
  <c r="R15" i="9"/>
  <c r="S15" i="9"/>
  <c r="AR14" i="9"/>
  <c r="AQ14" i="9"/>
  <c r="AO14" i="9"/>
  <c r="AN14" i="9"/>
  <c r="Y14" i="9"/>
  <c r="T14" i="9"/>
  <c r="O14" i="9"/>
  <c r="Q14" i="9"/>
  <c r="J14" i="9"/>
  <c r="L14" i="9"/>
  <c r="AR13" i="9"/>
  <c r="AQ13" i="9"/>
  <c r="AO13" i="9"/>
  <c r="AN13" i="9"/>
  <c r="Y13" i="9"/>
  <c r="T13" i="9"/>
  <c r="O13" i="9"/>
  <c r="Q13" i="9"/>
  <c r="J13" i="9"/>
  <c r="R13" i="9"/>
  <c r="S13" i="9"/>
  <c r="AR12" i="9"/>
  <c r="AQ12" i="9"/>
  <c r="AO12" i="9"/>
  <c r="AN12" i="9"/>
  <c r="Y12" i="9"/>
  <c r="T12" i="9"/>
  <c r="O12" i="9"/>
  <c r="Q12" i="9"/>
  <c r="J12" i="9"/>
  <c r="L12" i="9"/>
  <c r="AR11" i="9"/>
  <c r="AQ11" i="9"/>
  <c r="AO11" i="9"/>
  <c r="AN11" i="9"/>
  <c r="Y11" i="9"/>
  <c r="T11" i="9"/>
  <c r="O11" i="9"/>
  <c r="Q11" i="9"/>
  <c r="J11" i="9"/>
  <c r="L11" i="9"/>
  <c r="AR10" i="9"/>
  <c r="AQ10" i="9"/>
  <c r="AO10" i="9"/>
  <c r="AN10" i="9"/>
  <c r="Y10" i="9"/>
  <c r="T10" i="9"/>
  <c r="O10" i="9"/>
  <c r="Q10" i="9"/>
  <c r="J10" i="9"/>
  <c r="L10" i="9"/>
  <c r="AR9" i="9"/>
  <c r="AQ9" i="9"/>
  <c r="AO9" i="9"/>
  <c r="AN9" i="9"/>
  <c r="Y9" i="9"/>
  <c r="T9" i="9"/>
  <c r="O9" i="9"/>
  <c r="Q9" i="9"/>
  <c r="J9" i="9"/>
  <c r="L9" i="9"/>
  <c r="AR8" i="9"/>
  <c r="AQ8" i="9"/>
  <c r="AO8" i="9"/>
  <c r="AN8" i="9"/>
  <c r="Y8" i="9"/>
  <c r="Y40" i="9" s="1"/>
  <c r="T8" i="9"/>
  <c r="O8" i="9"/>
  <c r="Q8" i="9"/>
  <c r="J8" i="9"/>
  <c r="L8" i="9"/>
  <c r="BB39" i="8"/>
  <c r="BA39" i="8"/>
  <c r="AX39" i="8"/>
  <c r="AR37" i="8"/>
  <c r="AQ37" i="8"/>
  <c r="AO37" i="8"/>
  <c r="AN37" i="8"/>
  <c r="Y37" i="8"/>
  <c r="T37" i="8"/>
  <c r="O37" i="8"/>
  <c r="Q37" i="8"/>
  <c r="J37" i="8"/>
  <c r="L37" i="8"/>
  <c r="AR36" i="8"/>
  <c r="AQ36" i="8"/>
  <c r="AO36" i="8"/>
  <c r="AN36" i="8"/>
  <c r="Y36" i="8"/>
  <c r="T36" i="8"/>
  <c r="O36" i="8"/>
  <c r="Q36" i="8"/>
  <c r="J36" i="8"/>
  <c r="L36" i="8"/>
  <c r="AR35" i="8"/>
  <c r="AQ35" i="8"/>
  <c r="AO35" i="8"/>
  <c r="AN35" i="8"/>
  <c r="Y35" i="8"/>
  <c r="T35" i="8"/>
  <c r="O35" i="8"/>
  <c r="Q35" i="8"/>
  <c r="J35" i="8"/>
  <c r="AR34" i="8"/>
  <c r="AQ34" i="8"/>
  <c r="AO34" i="8"/>
  <c r="AN34" i="8"/>
  <c r="Y34" i="8"/>
  <c r="T34" i="8"/>
  <c r="O34" i="8"/>
  <c r="Q34" i="8"/>
  <c r="J34" i="8"/>
  <c r="L34" i="8"/>
  <c r="AR33" i="8"/>
  <c r="AQ33" i="8"/>
  <c r="AO33" i="8"/>
  <c r="AN33" i="8"/>
  <c r="Y33" i="8"/>
  <c r="T33" i="8"/>
  <c r="O33" i="8"/>
  <c r="Q33" i="8"/>
  <c r="L33" i="8"/>
  <c r="J33" i="8"/>
  <c r="AR32" i="8"/>
  <c r="AQ32" i="8"/>
  <c r="AO32" i="8"/>
  <c r="AN32" i="8"/>
  <c r="Y32" i="8"/>
  <c r="T32" i="8"/>
  <c r="O32" i="8"/>
  <c r="Q32" i="8"/>
  <c r="J32" i="8"/>
  <c r="L32" i="8"/>
  <c r="AR31" i="8"/>
  <c r="AQ31" i="8"/>
  <c r="AO31" i="8"/>
  <c r="AN31" i="8"/>
  <c r="Y31" i="8"/>
  <c r="T31" i="8"/>
  <c r="O31" i="8"/>
  <c r="Q31" i="8"/>
  <c r="J31" i="8"/>
  <c r="AR30" i="8"/>
  <c r="AQ30" i="8"/>
  <c r="AO30" i="8"/>
  <c r="AN30" i="8"/>
  <c r="Y30" i="8"/>
  <c r="T30" i="8"/>
  <c r="O30" i="8"/>
  <c r="Q30" i="8"/>
  <c r="J30" i="8"/>
  <c r="L30" i="8"/>
  <c r="AR29" i="8"/>
  <c r="AQ29" i="8"/>
  <c r="AO29" i="8"/>
  <c r="AN29" i="8"/>
  <c r="Y29" i="8"/>
  <c r="T29" i="8"/>
  <c r="O29" i="8"/>
  <c r="Q29" i="8"/>
  <c r="J29" i="8"/>
  <c r="L29" i="8"/>
  <c r="AR28" i="8"/>
  <c r="AQ28" i="8"/>
  <c r="AO28" i="8"/>
  <c r="AN28" i="8"/>
  <c r="Y28" i="8"/>
  <c r="T28" i="8"/>
  <c r="O28" i="8"/>
  <c r="Q28" i="8"/>
  <c r="J28" i="8"/>
  <c r="AR27" i="8"/>
  <c r="AQ27" i="8"/>
  <c r="AO27" i="8"/>
  <c r="AN27" i="8"/>
  <c r="Y27" i="8"/>
  <c r="T27" i="8"/>
  <c r="O27" i="8"/>
  <c r="Q27" i="8"/>
  <c r="J27" i="8"/>
  <c r="L27" i="8"/>
  <c r="AR26" i="8"/>
  <c r="AQ26" i="8"/>
  <c r="AO26" i="8"/>
  <c r="AN26" i="8"/>
  <c r="Y26" i="8"/>
  <c r="T26" i="8"/>
  <c r="O26" i="8"/>
  <c r="Q26" i="8"/>
  <c r="J26" i="8"/>
  <c r="AR25" i="8"/>
  <c r="AQ25" i="8"/>
  <c r="AO25" i="8"/>
  <c r="AN25" i="8"/>
  <c r="Y25" i="8"/>
  <c r="T25" i="8"/>
  <c r="O25" i="8"/>
  <c r="Q25" i="8"/>
  <c r="J25" i="8"/>
  <c r="L25" i="8"/>
  <c r="AR24" i="8"/>
  <c r="AQ24" i="8"/>
  <c r="AO24" i="8"/>
  <c r="AN24" i="8"/>
  <c r="Y24" i="8"/>
  <c r="T24" i="8"/>
  <c r="O24" i="8"/>
  <c r="Q24" i="8"/>
  <c r="J24" i="8"/>
  <c r="AR23" i="8"/>
  <c r="AQ23" i="8"/>
  <c r="AO23" i="8"/>
  <c r="AN23" i="8"/>
  <c r="Y23" i="8"/>
  <c r="T23" i="8"/>
  <c r="O23" i="8"/>
  <c r="Q23" i="8"/>
  <c r="J23" i="8"/>
  <c r="L23" i="8"/>
  <c r="AR22" i="8"/>
  <c r="AQ22" i="8"/>
  <c r="AO22" i="8"/>
  <c r="AN22" i="8"/>
  <c r="Y22" i="8"/>
  <c r="T22" i="8"/>
  <c r="O22" i="8"/>
  <c r="Q22" i="8"/>
  <c r="J22" i="8"/>
  <c r="AR21" i="8"/>
  <c r="AQ21" i="8"/>
  <c r="AO21" i="8"/>
  <c r="AN21" i="8"/>
  <c r="Y21" i="8"/>
  <c r="T21" i="8"/>
  <c r="O21" i="8"/>
  <c r="Q21" i="8"/>
  <c r="J21" i="8"/>
  <c r="L21" i="8"/>
  <c r="AR20" i="8"/>
  <c r="AQ20" i="8"/>
  <c r="AO20" i="8"/>
  <c r="AN20" i="8"/>
  <c r="Y20" i="8"/>
  <c r="T20" i="8"/>
  <c r="O20" i="8"/>
  <c r="Q20" i="8"/>
  <c r="J20" i="8"/>
  <c r="AR19" i="8"/>
  <c r="AQ19" i="8"/>
  <c r="AO19" i="8"/>
  <c r="AN19" i="8"/>
  <c r="Y19" i="8"/>
  <c r="T19" i="8"/>
  <c r="O19" i="8"/>
  <c r="Q19" i="8"/>
  <c r="J19" i="8"/>
  <c r="L19" i="8"/>
  <c r="AR18" i="8"/>
  <c r="AQ18" i="8"/>
  <c r="AO18" i="8"/>
  <c r="AN18" i="8"/>
  <c r="Y18" i="8"/>
  <c r="T18" i="8"/>
  <c r="O18" i="8"/>
  <c r="Q18" i="8"/>
  <c r="J18" i="8"/>
  <c r="AR17" i="8"/>
  <c r="AQ17" i="8"/>
  <c r="AO17" i="8"/>
  <c r="AN17" i="8"/>
  <c r="Y17" i="8"/>
  <c r="T17" i="8"/>
  <c r="O17" i="8"/>
  <c r="Q17" i="8"/>
  <c r="J17" i="8"/>
  <c r="L17" i="8"/>
  <c r="AR16" i="8"/>
  <c r="AQ16" i="8"/>
  <c r="AO16" i="8"/>
  <c r="AN16" i="8"/>
  <c r="Y16" i="8"/>
  <c r="T16" i="8"/>
  <c r="O16" i="8"/>
  <c r="Q16" i="8"/>
  <c r="J16" i="8"/>
  <c r="L16" i="8"/>
  <c r="AR15" i="8"/>
  <c r="AQ15" i="8"/>
  <c r="AO15" i="8"/>
  <c r="AN15" i="8"/>
  <c r="Y15" i="8"/>
  <c r="T15" i="8"/>
  <c r="O15" i="8"/>
  <c r="Q15" i="8"/>
  <c r="J15" i="8"/>
  <c r="L15" i="8"/>
  <c r="AR14" i="8"/>
  <c r="AQ14" i="8"/>
  <c r="AO14" i="8"/>
  <c r="AN14" i="8"/>
  <c r="Y14" i="8"/>
  <c r="T14" i="8"/>
  <c r="O14" i="8"/>
  <c r="Q14" i="8"/>
  <c r="J14" i="8"/>
  <c r="R14" i="8"/>
  <c r="S14" i="8"/>
  <c r="AR13" i="8"/>
  <c r="AQ13" i="8"/>
  <c r="AO13" i="8"/>
  <c r="AN13" i="8"/>
  <c r="Y13" i="8"/>
  <c r="T13" i="8"/>
  <c r="O13" i="8"/>
  <c r="Q13" i="8"/>
  <c r="J13" i="8"/>
  <c r="AR12" i="8"/>
  <c r="AQ12" i="8"/>
  <c r="AO12" i="8"/>
  <c r="AN12" i="8"/>
  <c r="Y12" i="8"/>
  <c r="T12" i="8"/>
  <c r="O12" i="8"/>
  <c r="Q12" i="8"/>
  <c r="J12" i="8"/>
  <c r="L12" i="8"/>
  <c r="AR11" i="8"/>
  <c r="AQ11" i="8"/>
  <c r="AO11" i="8"/>
  <c r="AN11" i="8"/>
  <c r="Y11" i="8"/>
  <c r="T11" i="8"/>
  <c r="O11" i="8"/>
  <c r="Q11" i="8"/>
  <c r="J11" i="8"/>
  <c r="L11" i="8"/>
  <c r="AR10" i="8"/>
  <c r="AQ10" i="8"/>
  <c r="AO10" i="8"/>
  <c r="AN10" i="8"/>
  <c r="Y10" i="8"/>
  <c r="T10" i="8"/>
  <c r="O10" i="8"/>
  <c r="Q10" i="8"/>
  <c r="J10" i="8"/>
  <c r="L10" i="8"/>
  <c r="AR9" i="8"/>
  <c r="AQ9" i="8"/>
  <c r="AO9" i="8"/>
  <c r="AN9" i="8"/>
  <c r="Y9" i="8"/>
  <c r="T9" i="8"/>
  <c r="O9" i="8"/>
  <c r="Q9" i="8"/>
  <c r="J9" i="8"/>
  <c r="AR8" i="8"/>
  <c r="AQ8" i="8"/>
  <c r="AO8" i="8"/>
  <c r="AN8" i="8"/>
  <c r="Y8" i="8"/>
  <c r="Y40" i="8" s="1"/>
  <c r="T8" i="8"/>
  <c r="Q8" i="8"/>
  <c r="O8" i="8"/>
  <c r="J8" i="8"/>
  <c r="BB39" i="7"/>
  <c r="AW40" i="7" s="1"/>
  <c r="BA39" i="7"/>
  <c r="AX39" i="7"/>
  <c r="AR38" i="7"/>
  <c r="AQ38" i="7"/>
  <c r="AO38" i="7"/>
  <c r="AN38" i="7"/>
  <c r="Y38" i="7"/>
  <c r="T38" i="7"/>
  <c r="O38" i="7"/>
  <c r="Q38" i="7"/>
  <c r="J38" i="7"/>
  <c r="AR37" i="7"/>
  <c r="AQ37" i="7"/>
  <c r="AO37" i="7"/>
  <c r="AN37" i="7"/>
  <c r="Y37" i="7"/>
  <c r="T37" i="7"/>
  <c r="O37" i="7"/>
  <c r="Q37" i="7"/>
  <c r="J37" i="7"/>
  <c r="L37" i="7"/>
  <c r="AR36" i="7"/>
  <c r="AQ36" i="7"/>
  <c r="AO36" i="7"/>
  <c r="AN36" i="7"/>
  <c r="Y36" i="7"/>
  <c r="T36" i="7"/>
  <c r="O36" i="7"/>
  <c r="Q36" i="7"/>
  <c r="J36" i="7"/>
  <c r="AR35" i="7"/>
  <c r="AQ35" i="7"/>
  <c r="AO35" i="7"/>
  <c r="AN35" i="7"/>
  <c r="Y35" i="7"/>
  <c r="T35" i="7"/>
  <c r="O35" i="7"/>
  <c r="Q35" i="7"/>
  <c r="J35" i="7"/>
  <c r="R35" i="7"/>
  <c r="S35" i="7"/>
  <c r="AR34" i="7"/>
  <c r="AQ34" i="7"/>
  <c r="AO34" i="7"/>
  <c r="AN34" i="7"/>
  <c r="Y34" i="7"/>
  <c r="T34" i="7"/>
  <c r="O34" i="7"/>
  <c r="Q34" i="7"/>
  <c r="J34" i="7"/>
  <c r="L34" i="7"/>
  <c r="AR33" i="7"/>
  <c r="AQ33" i="7"/>
  <c r="AO33" i="7"/>
  <c r="AN33" i="7"/>
  <c r="Y33" i="7"/>
  <c r="T33" i="7"/>
  <c r="O33" i="7"/>
  <c r="Q33" i="7"/>
  <c r="J33" i="7"/>
  <c r="R33" i="7"/>
  <c r="S33" i="7"/>
  <c r="U33" i="7"/>
  <c r="BF33" i="7"/>
  <c r="AR32" i="7"/>
  <c r="AQ32" i="7"/>
  <c r="AO32" i="7"/>
  <c r="AN32" i="7"/>
  <c r="Y32" i="7"/>
  <c r="T32" i="7"/>
  <c r="O32" i="7"/>
  <c r="Q32" i="7"/>
  <c r="J32" i="7"/>
  <c r="L32" i="7"/>
  <c r="AR31" i="7"/>
  <c r="AQ31" i="7"/>
  <c r="AO31" i="7"/>
  <c r="AN31" i="7"/>
  <c r="Y31" i="7"/>
  <c r="T31" i="7"/>
  <c r="O31" i="7"/>
  <c r="Q31" i="7"/>
  <c r="J31" i="7"/>
  <c r="L31" i="7"/>
  <c r="AR30" i="7"/>
  <c r="AQ30" i="7"/>
  <c r="AO30" i="7"/>
  <c r="AN30" i="7"/>
  <c r="Y30" i="7"/>
  <c r="T30" i="7"/>
  <c r="O30" i="7"/>
  <c r="Q30" i="7"/>
  <c r="J30" i="7"/>
  <c r="L30" i="7"/>
  <c r="AR29" i="7"/>
  <c r="AQ29" i="7"/>
  <c r="AO29" i="7"/>
  <c r="AN29" i="7"/>
  <c r="Y29" i="7"/>
  <c r="T29" i="7"/>
  <c r="O29" i="7"/>
  <c r="Q29" i="7"/>
  <c r="J29" i="7"/>
  <c r="R29" i="7"/>
  <c r="S29" i="7"/>
  <c r="U29" i="7"/>
  <c r="BF29" i="7"/>
  <c r="AR28" i="7"/>
  <c r="AQ28" i="7"/>
  <c r="AO28" i="7"/>
  <c r="AN28" i="7"/>
  <c r="Y28" i="7"/>
  <c r="T28" i="7"/>
  <c r="O28" i="7"/>
  <c r="Q28" i="7"/>
  <c r="L28" i="7"/>
  <c r="J28" i="7"/>
  <c r="AR27" i="7"/>
  <c r="AQ27" i="7"/>
  <c r="AO27" i="7"/>
  <c r="AN27" i="7"/>
  <c r="Y27" i="7"/>
  <c r="T27" i="7"/>
  <c r="O27" i="7"/>
  <c r="Q27" i="7"/>
  <c r="J27" i="7"/>
  <c r="L27" i="7"/>
  <c r="AR26" i="7"/>
  <c r="AQ26" i="7"/>
  <c r="AO26" i="7"/>
  <c r="AN26" i="7"/>
  <c r="Y26" i="7"/>
  <c r="T26" i="7"/>
  <c r="Q26" i="7"/>
  <c r="O26" i="7"/>
  <c r="L26" i="7"/>
  <c r="J26" i="7"/>
  <c r="AR25" i="7"/>
  <c r="AQ25" i="7"/>
  <c r="AO25" i="7"/>
  <c r="AN25" i="7"/>
  <c r="Y25" i="7"/>
  <c r="T25" i="7"/>
  <c r="O25" i="7"/>
  <c r="Q25" i="7"/>
  <c r="J25" i="7"/>
  <c r="L25" i="7"/>
  <c r="AR24" i="7"/>
  <c r="AQ24" i="7"/>
  <c r="AO24" i="7"/>
  <c r="AN24" i="7"/>
  <c r="Y24" i="7"/>
  <c r="T24" i="7"/>
  <c r="O24" i="7"/>
  <c r="Q24" i="7"/>
  <c r="J24" i="7"/>
  <c r="AR23" i="7"/>
  <c r="AQ23" i="7"/>
  <c r="AO23" i="7"/>
  <c r="AN23" i="7"/>
  <c r="Y23" i="7"/>
  <c r="T23" i="7"/>
  <c r="O23" i="7"/>
  <c r="Q23" i="7"/>
  <c r="J23" i="7"/>
  <c r="L23" i="7"/>
  <c r="AR22" i="7"/>
  <c r="AQ22" i="7"/>
  <c r="AO22" i="7"/>
  <c r="AN22" i="7"/>
  <c r="Y22" i="7"/>
  <c r="T22" i="7"/>
  <c r="O22" i="7"/>
  <c r="Q22" i="7"/>
  <c r="J22" i="7"/>
  <c r="L22" i="7"/>
  <c r="AR21" i="7"/>
  <c r="AQ21" i="7"/>
  <c r="AO21" i="7"/>
  <c r="AN21" i="7"/>
  <c r="Y21" i="7"/>
  <c r="T21" i="7"/>
  <c r="O21" i="7"/>
  <c r="Q21" i="7"/>
  <c r="J21" i="7"/>
  <c r="L21" i="7"/>
  <c r="AR20" i="7"/>
  <c r="AQ20" i="7"/>
  <c r="AO20" i="7"/>
  <c r="AN20" i="7"/>
  <c r="Y20" i="7"/>
  <c r="T20" i="7"/>
  <c r="O20" i="7"/>
  <c r="Q20" i="7"/>
  <c r="J20" i="7"/>
  <c r="AR19" i="7"/>
  <c r="AQ19" i="7"/>
  <c r="AO19" i="7"/>
  <c r="AN19" i="7"/>
  <c r="Y19" i="7"/>
  <c r="T19" i="7"/>
  <c r="O19" i="7"/>
  <c r="Q19" i="7"/>
  <c r="J19" i="7"/>
  <c r="L19" i="7"/>
  <c r="AR18" i="7"/>
  <c r="AQ18" i="7"/>
  <c r="AO18" i="7"/>
  <c r="AN18" i="7"/>
  <c r="Y18" i="7"/>
  <c r="T18" i="7"/>
  <c r="O18" i="7"/>
  <c r="Q18" i="7"/>
  <c r="J18" i="7"/>
  <c r="L18" i="7"/>
  <c r="AR17" i="7"/>
  <c r="AQ17" i="7"/>
  <c r="AO17" i="7"/>
  <c r="AN17" i="7"/>
  <c r="Y17" i="7"/>
  <c r="T17" i="7"/>
  <c r="O17" i="7"/>
  <c r="Q17" i="7"/>
  <c r="J17" i="7"/>
  <c r="L17" i="7"/>
  <c r="AR16" i="7"/>
  <c r="AQ16" i="7"/>
  <c r="AO16" i="7"/>
  <c r="AN16" i="7"/>
  <c r="Y16" i="7"/>
  <c r="T16" i="7"/>
  <c r="O16" i="7"/>
  <c r="Q16" i="7"/>
  <c r="J16" i="7"/>
  <c r="AR15" i="7"/>
  <c r="AQ15" i="7"/>
  <c r="AO15" i="7"/>
  <c r="AN15" i="7"/>
  <c r="Y15" i="7"/>
  <c r="T15" i="7"/>
  <c r="O15" i="7"/>
  <c r="Q15" i="7"/>
  <c r="J15" i="7"/>
  <c r="L15" i="7"/>
  <c r="AR14" i="7"/>
  <c r="AQ14" i="7"/>
  <c r="AO14" i="7"/>
  <c r="AN14" i="7"/>
  <c r="Y14" i="7"/>
  <c r="T14" i="7"/>
  <c r="O14" i="7"/>
  <c r="Q14" i="7"/>
  <c r="J14" i="7"/>
  <c r="AR13" i="7"/>
  <c r="AQ13" i="7"/>
  <c r="AO13" i="7"/>
  <c r="AN13" i="7"/>
  <c r="Y13" i="7"/>
  <c r="T13" i="7"/>
  <c r="O13" i="7"/>
  <c r="Q13" i="7"/>
  <c r="J13" i="7"/>
  <c r="R13" i="7"/>
  <c r="S13" i="7"/>
  <c r="AR12" i="7"/>
  <c r="AQ12" i="7"/>
  <c r="AO12" i="7"/>
  <c r="AN12" i="7"/>
  <c r="Y12" i="7"/>
  <c r="T12" i="7"/>
  <c r="O12" i="7"/>
  <c r="Q12" i="7"/>
  <c r="J12" i="7"/>
  <c r="L12" i="7"/>
  <c r="AR11" i="7"/>
  <c r="AQ11" i="7"/>
  <c r="AO11" i="7"/>
  <c r="AN11" i="7"/>
  <c r="Y11" i="7"/>
  <c r="T11" i="7"/>
  <c r="O11" i="7"/>
  <c r="Q11" i="7"/>
  <c r="J11" i="7"/>
  <c r="AR10" i="7"/>
  <c r="AQ10" i="7"/>
  <c r="AO10" i="7"/>
  <c r="AN10" i="7"/>
  <c r="Y10" i="7"/>
  <c r="T10" i="7"/>
  <c r="O10" i="7"/>
  <c r="Q10" i="7"/>
  <c r="J10" i="7"/>
  <c r="L10" i="7"/>
  <c r="AR9" i="7"/>
  <c r="AQ9" i="7"/>
  <c r="AO9" i="7"/>
  <c r="AN9" i="7"/>
  <c r="T9" i="7"/>
  <c r="O9" i="7"/>
  <c r="Q9" i="7"/>
  <c r="J9" i="7"/>
  <c r="AR8" i="7"/>
  <c r="AQ8" i="7"/>
  <c r="AO8" i="7"/>
  <c r="AN8" i="7"/>
  <c r="Y8" i="7"/>
  <c r="T8" i="7"/>
  <c r="O8" i="7"/>
  <c r="Q8" i="7"/>
  <c r="J8" i="7"/>
  <c r="R11" i="7"/>
  <c r="S11" i="7"/>
  <c r="R28" i="7"/>
  <c r="S28" i="7"/>
  <c r="L14" i="8"/>
  <c r="R20" i="8"/>
  <c r="S20" i="8"/>
  <c r="R24" i="8"/>
  <c r="S24" i="8"/>
  <c r="R26" i="8"/>
  <c r="S26" i="8"/>
  <c r="U26" i="8"/>
  <c r="BF26" i="8"/>
  <c r="R28" i="8"/>
  <c r="S28" i="8"/>
  <c r="R8" i="10"/>
  <c r="S8" i="10"/>
  <c r="U8" i="10"/>
  <c r="BF8" i="10"/>
  <c r="L13" i="7"/>
  <c r="R9" i="10"/>
  <c r="S9" i="10"/>
  <c r="U9" i="10"/>
  <c r="BF9" i="10"/>
  <c r="L20" i="11"/>
  <c r="L22" i="12"/>
  <c r="L29" i="11"/>
  <c r="U36" i="14"/>
  <c r="BF36" i="14"/>
  <c r="R20" i="7"/>
  <c r="S20" i="7"/>
  <c r="U22" i="9"/>
  <c r="BF22" i="9"/>
  <c r="L33" i="11"/>
  <c r="L35" i="12"/>
  <c r="AV24" i="16"/>
  <c r="AW24" i="16"/>
  <c r="L20" i="7"/>
  <c r="R24" i="7"/>
  <c r="S24" i="7"/>
  <c r="U24" i="7"/>
  <c r="BF24" i="7"/>
  <c r="R13" i="8"/>
  <c r="S13" i="8"/>
  <c r="U13" i="8"/>
  <c r="BF13" i="8"/>
  <c r="R26" i="9"/>
  <c r="S26" i="9"/>
  <c r="U26" i="9"/>
  <c r="BF26" i="9"/>
  <c r="R9" i="16"/>
  <c r="S9" i="16"/>
  <c r="U9" i="16"/>
  <c r="BF9" i="16"/>
  <c r="R11" i="16"/>
  <c r="S11" i="16"/>
  <c r="R13" i="16"/>
  <c r="S13" i="16"/>
  <c r="U13" i="16"/>
  <c r="BF13" i="16"/>
  <c r="AV28" i="16"/>
  <c r="AW28" i="16"/>
  <c r="R24" i="11"/>
  <c r="S24" i="11"/>
  <c r="L24" i="11"/>
  <c r="R35" i="11"/>
  <c r="S35" i="11"/>
  <c r="U35" i="11"/>
  <c r="BF35" i="11"/>
  <c r="L35" i="11"/>
  <c r="R26" i="12"/>
  <c r="S26" i="12"/>
  <c r="L26" i="12"/>
  <c r="R36" i="12"/>
  <c r="S36" i="12"/>
  <c r="U36" i="12"/>
  <c r="BF36" i="12"/>
  <c r="L36" i="12"/>
  <c r="R8" i="7"/>
  <c r="S8" i="7"/>
  <c r="R9" i="7"/>
  <c r="S9" i="7"/>
  <c r="U9" i="7"/>
  <c r="BF9" i="7"/>
  <c r="U13" i="7"/>
  <c r="BF13" i="7"/>
  <c r="R16" i="7"/>
  <c r="S16" i="7"/>
  <c r="U16" i="7"/>
  <c r="BF16" i="7"/>
  <c r="U20" i="7"/>
  <c r="BF20" i="7"/>
  <c r="L24" i="7"/>
  <c r="L35" i="7"/>
  <c r="AV36" i="7"/>
  <c r="AW36" i="7"/>
  <c r="R38" i="7"/>
  <c r="S38" i="7"/>
  <c r="U38" i="7"/>
  <c r="BF38" i="7"/>
  <c r="R9" i="8"/>
  <c r="S9" i="8"/>
  <c r="U9" i="8"/>
  <c r="BF9" i="8"/>
  <c r="AV13" i="8"/>
  <c r="AW13" i="8"/>
  <c r="U14" i="8"/>
  <c r="BF14" i="8"/>
  <c r="L20" i="8"/>
  <c r="L24" i="8"/>
  <c r="L28" i="8"/>
  <c r="AV29" i="8"/>
  <c r="AW29" i="8"/>
  <c r="AV30" i="8"/>
  <c r="AW30" i="8"/>
  <c r="AV31" i="8"/>
  <c r="AW31" i="8"/>
  <c r="AV32" i="8"/>
  <c r="AW32" i="8"/>
  <c r="AV36" i="8"/>
  <c r="AW36" i="8"/>
  <c r="AV8" i="9"/>
  <c r="AW8" i="9"/>
  <c r="AV10" i="9"/>
  <c r="AW10" i="9"/>
  <c r="L22" i="9"/>
  <c r="AV22" i="9"/>
  <c r="AW22" i="9"/>
  <c r="AV23" i="9"/>
  <c r="AW23" i="9"/>
  <c r="L26" i="9"/>
  <c r="AV26" i="9"/>
  <c r="AW26" i="9"/>
  <c r="AV27" i="9"/>
  <c r="AW27" i="9"/>
  <c r="AV29" i="9"/>
  <c r="AW29" i="9"/>
  <c r="R31" i="9"/>
  <c r="S31" i="9"/>
  <c r="U31" i="9"/>
  <c r="BF31" i="9"/>
  <c r="L9" i="10"/>
  <c r="AV12" i="10"/>
  <c r="AW12" i="10"/>
  <c r="U13" i="10"/>
  <c r="BF13" i="10"/>
  <c r="L16" i="10"/>
  <c r="L20" i="10"/>
  <c r="R24" i="10"/>
  <c r="S24" i="10"/>
  <c r="L24" i="10"/>
  <c r="R16" i="11"/>
  <c r="S16" i="11"/>
  <c r="L16" i="11"/>
  <c r="R9" i="12"/>
  <c r="S9" i="12"/>
  <c r="L9" i="12"/>
  <c r="R14" i="12"/>
  <c r="S14" i="12"/>
  <c r="U14" i="12"/>
  <c r="BF14" i="12"/>
  <c r="L14" i="12"/>
  <c r="R29" i="13"/>
  <c r="S29" i="13"/>
  <c r="U29" i="13"/>
  <c r="BF29" i="13"/>
  <c r="L29" i="13"/>
  <c r="AV34" i="10"/>
  <c r="AW34" i="10"/>
  <c r="AV10" i="11"/>
  <c r="AW10" i="11"/>
  <c r="R11" i="11"/>
  <c r="S11" i="11"/>
  <c r="U11" i="11"/>
  <c r="BF11" i="11"/>
  <c r="AV12" i="11"/>
  <c r="AW12" i="11"/>
  <c r="AV16" i="11"/>
  <c r="AW16" i="11"/>
  <c r="AV17" i="11"/>
  <c r="AW17" i="11"/>
  <c r="AV18" i="11"/>
  <c r="AW18" i="11"/>
  <c r="AV24" i="11"/>
  <c r="AW24" i="11"/>
  <c r="AV25" i="11"/>
  <c r="AW25" i="11"/>
  <c r="AV26" i="11"/>
  <c r="AW26" i="11"/>
  <c r="AV27" i="11"/>
  <c r="AW27" i="11"/>
  <c r="R28" i="11"/>
  <c r="S28" i="11"/>
  <c r="U29" i="11"/>
  <c r="BF29" i="11"/>
  <c r="AV31" i="11"/>
  <c r="AW31" i="11"/>
  <c r="AV32" i="11"/>
  <c r="AW32" i="11"/>
  <c r="U33" i="11"/>
  <c r="BF33" i="11"/>
  <c r="AV14" i="12"/>
  <c r="AW14" i="12"/>
  <c r="AV15" i="12"/>
  <c r="AW15" i="12"/>
  <c r="AV16" i="12"/>
  <c r="AW16" i="12"/>
  <c r="R18" i="12"/>
  <c r="S18" i="12"/>
  <c r="AV19" i="12"/>
  <c r="AW19" i="12"/>
  <c r="AV20" i="12"/>
  <c r="AW20" i="12"/>
  <c r="AV21" i="12"/>
  <c r="AW21" i="12"/>
  <c r="AV29" i="12"/>
  <c r="AW29" i="12"/>
  <c r="AV30" i="12"/>
  <c r="AW30" i="12"/>
  <c r="AV33" i="12"/>
  <c r="AW33" i="12"/>
  <c r="AV34" i="12"/>
  <c r="AW34" i="12"/>
  <c r="AV36" i="12"/>
  <c r="AW36" i="12"/>
  <c r="R13" i="13"/>
  <c r="S13" i="13"/>
  <c r="U13" i="13"/>
  <c r="BF13" i="13"/>
  <c r="R9" i="14"/>
  <c r="S9" i="14"/>
  <c r="U9" i="14"/>
  <c r="BF9" i="14"/>
  <c r="U11" i="14"/>
  <c r="BF11" i="14"/>
  <c r="AV36" i="14"/>
  <c r="AW36" i="14"/>
  <c r="AV38" i="14"/>
  <c r="AW38" i="14"/>
  <c r="R8" i="15"/>
  <c r="S8" i="15"/>
  <c r="U8" i="15"/>
  <c r="BF8" i="15"/>
  <c r="R8" i="16"/>
  <c r="S8" i="16"/>
  <c r="U8" i="16"/>
  <c r="BF8" i="16"/>
  <c r="AV15" i="16"/>
  <c r="AW15" i="16"/>
  <c r="AV18" i="16"/>
  <c r="AW18" i="16"/>
  <c r="AV19" i="16"/>
  <c r="AW19" i="16"/>
  <c r="AV22" i="16"/>
  <c r="AW22" i="16"/>
  <c r="AV26" i="16"/>
  <c r="AW26" i="16"/>
  <c r="AV32" i="16"/>
  <c r="AW32" i="16"/>
  <c r="AV34" i="16"/>
  <c r="AW34" i="16"/>
  <c r="AV36" i="16"/>
  <c r="AW36" i="16"/>
  <c r="R38" i="16"/>
  <c r="S38" i="16"/>
  <c r="U38" i="16"/>
  <c r="BF38" i="16"/>
  <c r="AV38" i="16"/>
  <c r="AW38" i="16"/>
  <c r="AV9" i="7"/>
  <c r="AW9" i="7"/>
  <c r="AV13" i="7"/>
  <c r="AW13" i="7"/>
  <c r="AV20" i="7"/>
  <c r="AW20" i="7"/>
  <c r="AV23" i="7"/>
  <c r="AW23" i="7"/>
  <c r="AV28" i="7"/>
  <c r="AW28" i="7"/>
  <c r="AV32" i="7"/>
  <c r="AW32" i="7"/>
  <c r="AV38" i="12"/>
  <c r="AW38" i="12"/>
  <c r="AV14" i="13"/>
  <c r="AW14" i="13"/>
  <c r="AV15" i="13"/>
  <c r="AW15" i="13"/>
  <c r="AV17" i="13"/>
  <c r="AW17" i="13"/>
  <c r="AV18" i="13"/>
  <c r="AW18" i="13"/>
  <c r="AV19" i="13"/>
  <c r="AW19" i="13"/>
  <c r="AV25" i="13"/>
  <c r="AW25" i="13"/>
  <c r="AV26" i="13"/>
  <c r="AW26" i="13"/>
  <c r="AV27" i="13"/>
  <c r="AW27" i="13"/>
  <c r="AV29" i="13"/>
  <c r="AW29" i="13"/>
  <c r="AV30" i="13"/>
  <c r="AW30" i="13"/>
  <c r="AV12" i="14"/>
  <c r="AW12" i="14"/>
  <c r="AV13" i="14"/>
  <c r="AW13" i="14"/>
  <c r="AV17" i="14"/>
  <c r="AW17" i="14"/>
  <c r="AV21" i="14"/>
  <c r="AW21" i="14"/>
  <c r="AV24" i="14"/>
  <c r="AW24" i="14"/>
  <c r="AV25" i="14"/>
  <c r="AW25" i="14"/>
  <c r="AV34" i="14"/>
  <c r="AW34" i="14"/>
  <c r="AV10" i="15"/>
  <c r="AW10" i="15"/>
  <c r="AV13" i="15"/>
  <c r="AW13" i="15"/>
  <c r="AV19" i="15"/>
  <c r="AW19" i="15"/>
  <c r="AV27" i="15"/>
  <c r="AW27" i="15"/>
  <c r="AV31" i="15"/>
  <c r="AW31" i="15"/>
  <c r="AV33" i="15"/>
  <c r="AW33" i="15"/>
  <c r="AV35" i="15"/>
  <c r="AW35" i="15"/>
  <c r="AV37" i="15"/>
  <c r="AW37" i="15"/>
  <c r="AV8" i="16"/>
  <c r="AW8" i="16"/>
  <c r="AV9" i="16"/>
  <c r="AW9" i="16"/>
  <c r="AV10" i="16"/>
  <c r="AW10" i="16"/>
  <c r="AV11" i="16"/>
  <c r="AW11" i="16"/>
  <c r="AV12" i="16"/>
  <c r="AW12" i="16"/>
  <c r="AV13" i="16"/>
  <c r="AW13" i="16"/>
  <c r="AV23" i="16"/>
  <c r="AW23" i="16"/>
  <c r="AV8" i="7"/>
  <c r="AW8" i="7"/>
  <c r="AV11" i="7"/>
  <c r="AW11" i="7"/>
  <c r="AV12" i="7"/>
  <c r="AW12" i="7"/>
  <c r="AV15" i="7"/>
  <c r="AW15" i="7"/>
  <c r="AV16" i="7"/>
  <c r="AW16" i="7"/>
  <c r="AV19" i="7"/>
  <c r="AW19" i="7"/>
  <c r="AV24" i="7"/>
  <c r="AW24" i="7"/>
  <c r="AV27" i="7"/>
  <c r="AW27" i="7"/>
  <c r="AV38" i="7"/>
  <c r="AW38" i="7"/>
  <c r="AV9" i="8"/>
  <c r="AW9" i="8"/>
  <c r="AV10" i="8"/>
  <c r="AW10" i="8"/>
  <c r="AV14" i="8"/>
  <c r="AW14" i="8"/>
  <c r="AV16" i="8"/>
  <c r="AW16" i="8"/>
  <c r="AV17" i="8"/>
  <c r="AW17" i="8"/>
  <c r="AV18" i="8"/>
  <c r="AW18" i="8"/>
  <c r="AV20" i="8"/>
  <c r="AW20" i="8"/>
  <c r="AV21" i="8"/>
  <c r="AW21" i="8"/>
  <c r="AV22" i="8"/>
  <c r="AW22" i="8"/>
  <c r="AV24" i="8"/>
  <c r="AW24" i="8"/>
  <c r="AV25" i="8"/>
  <c r="AW25" i="8"/>
  <c r="AV26" i="8"/>
  <c r="AW26" i="8"/>
  <c r="AV28" i="8"/>
  <c r="AW28" i="8"/>
  <c r="AV33" i="8"/>
  <c r="AW33" i="8"/>
  <c r="AV34" i="8"/>
  <c r="AW34" i="8"/>
  <c r="AV11" i="9"/>
  <c r="AW11" i="9"/>
  <c r="AV12" i="9"/>
  <c r="AW12" i="9"/>
  <c r="AV13" i="9"/>
  <c r="AW13" i="9"/>
  <c r="AV14" i="9"/>
  <c r="AW14" i="9"/>
  <c r="AV16" i="9"/>
  <c r="AW16" i="9"/>
  <c r="AV17" i="9"/>
  <c r="AW17" i="9"/>
  <c r="AV18" i="9"/>
  <c r="AW18" i="9"/>
  <c r="AV19" i="9"/>
  <c r="AW19" i="9"/>
  <c r="AV20" i="9"/>
  <c r="AW20" i="9"/>
  <c r="AV21" i="9"/>
  <c r="AW21" i="9"/>
  <c r="AV24" i="9"/>
  <c r="AW24" i="9"/>
  <c r="AV25" i="9"/>
  <c r="AW25" i="9"/>
  <c r="AV31" i="9"/>
  <c r="AW31" i="9"/>
  <c r="AV32" i="9"/>
  <c r="AW32" i="9"/>
  <c r="AV33" i="9"/>
  <c r="AW33" i="9"/>
  <c r="AV34" i="9"/>
  <c r="AW34" i="9"/>
  <c r="AV36" i="9"/>
  <c r="AW36" i="9"/>
  <c r="AV38" i="9"/>
  <c r="AW38" i="9"/>
  <c r="AV8" i="10"/>
  <c r="AW8" i="10"/>
  <c r="AV9" i="10"/>
  <c r="AW9" i="10"/>
  <c r="AV10" i="10"/>
  <c r="AW10" i="10"/>
  <c r="AV13" i="10"/>
  <c r="AW13" i="10"/>
  <c r="AV14" i="10"/>
  <c r="AW14" i="10"/>
  <c r="AV16" i="10"/>
  <c r="AW16" i="10"/>
  <c r="AV17" i="10"/>
  <c r="AW17" i="10"/>
  <c r="AV18" i="10"/>
  <c r="AW18" i="10"/>
  <c r="AV20" i="10"/>
  <c r="AW20" i="10"/>
  <c r="AV21" i="10"/>
  <c r="AW21" i="10"/>
  <c r="AV22" i="10"/>
  <c r="AW22" i="10"/>
  <c r="AV24" i="10"/>
  <c r="AW24" i="10"/>
  <c r="AV25" i="10"/>
  <c r="AW25" i="10"/>
  <c r="AV26" i="10"/>
  <c r="AW26" i="10"/>
  <c r="AV28" i="10"/>
  <c r="AW28" i="10"/>
  <c r="AV29" i="10"/>
  <c r="AW29" i="10"/>
  <c r="AV30" i="10"/>
  <c r="AW30" i="10"/>
  <c r="AV31" i="10"/>
  <c r="AW31" i="10"/>
  <c r="AV32" i="10"/>
  <c r="AW32" i="10"/>
  <c r="AV36" i="10"/>
  <c r="AW36" i="10"/>
  <c r="AV8" i="11"/>
  <c r="AW8" i="11"/>
  <c r="AV14" i="11"/>
  <c r="AW14" i="11"/>
  <c r="AV15" i="11"/>
  <c r="AW15" i="11"/>
  <c r="AV20" i="11"/>
  <c r="AW20" i="11"/>
  <c r="AV21" i="11"/>
  <c r="AW21" i="11"/>
  <c r="AV22" i="11"/>
  <c r="AW22" i="11"/>
  <c r="AV29" i="11"/>
  <c r="AW29" i="11"/>
  <c r="AV30" i="11"/>
  <c r="AW30" i="11"/>
  <c r="AV33" i="11"/>
  <c r="AW33" i="11"/>
  <c r="AV34" i="11"/>
  <c r="AW34" i="11"/>
  <c r="AV38" i="11"/>
  <c r="AW38" i="11"/>
  <c r="AV9" i="12"/>
  <c r="AW9" i="12"/>
  <c r="AV10" i="12"/>
  <c r="AW10" i="12"/>
  <c r="AV11" i="12"/>
  <c r="AW11" i="12"/>
  <c r="AV13" i="12"/>
  <c r="AW13" i="12"/>
  <c r="AV22" i="12"/>
  <c r="AW22" i="12"/>
  <c r="AV24" i="12"/>
  <c r="AW24" i="12"/>
  <c r="AV25" i="12"/>
  <c r="AW25" i="12"/>
  <c r="AV26" i="12"/>
  <c r="AW26" i="12"/>
  <c r="AV28" i="12"/>
  <c r="AW28" i="12"/>
  <c r="AV31" i="12"/>
  <c r="AW31" i="12"/>
  <c r="AV32" i="12"/>
  <c r="AW32" i="12"/>
  <c r="AV9" i="13"/>
  <c r="AW9" i="13"/>
  <c r="AV11" i="13"/>
  <c r="AW11" i="13"/>
  <c r="AV12" i="13"/>
  <c r="AW12" i="13"/>
  <c r="AV13" i="13"/>
  <c r="AW13" i="13"/>
  <c r="AV20" i="13"/>
  <c r="AW20" i="13"/>
  <c r="AV21" i="13"/>
  <c r="AW21" i="13"/>
  <c r="AV22" i="13"/>
  <c r="AW22" i="13"/>
  <c r="AV23" i="13"/>
  <c r="AW23" i="13"/>
  <c r="AV31" i="13"/>
  <c r="AW31" i="13"/>
  <c r="AV33" i="13"/>
  <c r="AW33" i="13"/>
  <c r="AV34" i="13"/>
  <c r="AW34" i="13"/>
  <c r="AV36" i="13"/>
  <c r="AW36" i="13"/>
  <c r="AV8" i="14"/>
  <c r="AW8" i="14"/>
  <c r="AV9" i="14"/>
  <c r="AW9" i="14"/>
  <c r="AV10" i="14"/>
  <c r="AW10" i="14"/>
  <c r="AV15" i="14"/>
  <c r="AW15" i="14"/>
  <c r="AV18" i="14"/>
  <c r="AW18" i="14"/>
  <c r="AV19" i="14"/>
  <c r="AW19" i="14"/>
  <c r="AV22" i="14"/>
  <c r="AW22" i="14"/>
  <c r="AV23" i="14"/>
  <c r="AW23" i="14"/>
  <c r="AV26" i="14"/>
  <c r="AW26" i="14"/>
  <c r="AV27" i="14"/>
  <c r="AW27" i="14"/>
  <c r="AV30" i="14"/>
  <c r="AW30" i="14"/>
  <c r="AV32" i="14"/>
  <c r="AW32" i="14"/>
  <c r="AV8" i="15"/>
  <c r="AW8" i="15"/>
  <c r="AV9" i="15"/>
  <c r="AW9" i="15"/>
  <c r="AV15" i="15"/>
  <c r="AW15" i="15"/>
  <c r="AV17" i="15"/>
  <c r="AW17" i="15"/>
  <c r="AV23" i="15"/>
  <c r="AW23" i="15"/>
  <c r="AV25" i="15"/>
  <c r="AW25" i="15"/>
  <c r="AV14" i="16"/>
  <c r="AW14" i="16"/>
  <c r="AV27" i="16"/>
  <c r="AW27" i="16"/>
  <c r="AV16" i="16"/>
  <c r="AW16" i="16"/>
  <c r="AV17" i="16"/>
  <c r="AW17" i="16"/>
  <c r="AV20" i="16"/>
  <c r="AW20" i="16"/>
  <c r="AV21" i="16"/>
  <c r="AW21" i="16"/>
  <c r="AV25" i="16"/>
  <c r="AW25" i="16"/>
  <c r="AV30" i="16"/>
  <c r="AW30" i="16"/>
  <c r="AV17" i="7"/>
  <c r="AW17" i="7"/>
  <c r="AV21" i="7"/>
  <c r="AW21" i="7"/>
  <c r="AV25" i="7"/>
  <c r="AW25" i="7"/>
  <c r="AV11" i="8"/>
  <c r="AW11" i="8"/>
  <c r="R35" i="8"/>
  <c r="S35" i="8"/>
  <c r="L35" i="8"/>
  <c r="R31" i="10"/>
  <c r="S31" i="10"/>
  <c r="U31" i="10"/>
  <c r="BF31" i="10"/>
  <c r="L31" i="10"/>
  <c r="L29" i="7"/>
  <c r="AV29" i="7"/>
  <c r="AW29" i="7"/>
  <c r="L33" i="7"/>
  <c r="AV33" i="7"/>
  <c r="AW33" i="7"/>
  <c r="L38" i="7"/>
  <c r="R22" i="8"/>
  <c r="S22" i="8"/>
  <c r="U22" i="8"/>
  <c r="BF22" i="8"/>
  <c r="L22" i="8"/>
  <c r="R18" i="8"/>
  <c r="S18" i="8"/>
  <c r="U18" i="8"/>
  <c r="BF18" i="8"/>
  <c r="L18" i="8"/>
  <c r="R33" i="9"/>
  <c r="S33" i="9"/>
  <c r="U33" i="9"/>
  <c r="BF33" i="9"/>
  <c r="L33" i="9"/>
  <c r="R35" i="10"/>
  <c r="S35" i="10"/>
  <c r="L35" i="10"/>
  <c r="L8" i="7"/>
  <c r="R36" i="7"/>
  <c r="S36" i="7"/>
  <c r="U36" i="7"/>
  <c r="BF36" i="7"/>
  <c r="R8" i="8"/>
  <c r="S8" i="8"/>
  <c r="U8" i="8"/>
  <c r="BF8" i="8"/>
  <c r="L9" i="8"/>
  <c r="L13" i="8"/>
  <c r="R28" i="12"/>
  <c r="S28" i="12"/>
  <c r="L28" i="12"/>
  <c r="R31" i="7"/>
  <c r="S31" i="7"/>
  <c r="U31" i="7"/>
  <c r="BF31" i="7"/>
  <c r="L36" i="7"/>
  <c r="L8" i="8"/>
  <c r="AV8" i="8"/>
  <c r="AW8" i="8"/>
  <c r="AV12" i="8"/>
  <c r="AW12" i="8"/>
  <c r="R31" i="8"/>
  <c r="S31" i="8"/>
  <c r="U31" i="8"/>
  <c r="BF31" i="8"/>
  <c r="L31" i="8"/>
  <c r="U8" i="7"/>
  <c r="BF8" i="7"/>
  <c r="L9" i="7"/>
  <c r="L16" i="7"/>
  <c r="R18" i="7"/>
  <c r="S18" i="7"/>
  <c r="U18" i="7"/>
  <c r="BF18" i="7"/>
  <c r="R22" i="7"/>
  <c r="S22" i="7"/>
  <c r="U22" i="7"/>
  <c r="BF22" i="7"/>
  <c r="R26" i="7"/>
  <c r="S26" i="7"/>
  <c r="U26" i="7"/>
  <c r="BF26" i="7"/>
  <c r="AV31" i="7"/>
  <c r="AW31" i="7"/>
  <c r="R38" i="9"/>
  <c r="S38" i="9"/>
  <c r="U38" i="9"/>
  <c r="BF38" i="9"/>
  <c r="L38" i="9"/>
  <c r="AV10" i="7"/>
  <c r="AW10" i="7"/>
  <c r="R14" i="7"/>
  <c r="S14" i="7"/>
  <c r="U14" i="7"/>
  <c r="BF14" i="7"/>
  <c r="AV14" i="7"/>
  <c r="AW14" i="7"/>
  <c r="AV18" i="7"/>
  <c r="AW18" i="7"/>
  <c r="AV22" i="7"/>
  <c r="AW22" i="7"/>
  <c r="AV26" i="7"/>
  <c r="AW26" i="7"/>
  <c r="AV30" i="7"/>
  <c r="AW30" i="7"/>
  <c r="AV34" i="7"/>
  <c r="AW34" i="7"/>
  <c r="R11" i="8"/>
  <c r="S11" i="8"/>
  <c r="U11" i="8"/>
  <c r="BF11" i="8"/>
  <c r="AV15" i="8"/>
  <c r="AW15" i="8"/>
  <c r="AV19" i="8"/>
  <c r="AW19" i="8"/>
  <c r="AV23" i="8"/>
  <c r="AW23" i="8"/>
  <c r="AV27" i="8"/>
  <c r="AW27" i="8"/>
  <c r="R36" i="8"/>
  <c r="S36" i="8"/>
  <c r="U36" i="8"/>
  <c r="BF36" i="8"/>
  <c r="R8" i="9"/>
  <c r="S8" i="9"/>
  <c r="U8" i="9"/>
  <c r="BF8" i="9"/>
  <c r="AV9" i="9"/>
  <c r="AW9" i="9"/>
  <c r="AV15" i="9"/>
  <c r="AW15" i="9"/>
  <c r="R24" i="9"/>
  <c r="S24" i="9"/>
  <c r="U24" i="9"/>
  <c r="BF24" i="9"/>
  <c r="R28" i="9"/>
  <c r="S28" i="9"/>
  <c r="U28" i="9"/>
  <c r="BF28" i="9"/>
  <c r="R35" i="9"/>
  <c r="S35" i="9"/>
  <c r="AV11" i="10"/>
  <c r="AW11" i="10"/>
  <c r="AV15" i="10"/>
  <c r="AW15" i="10"/>
  <c r="AV19" i="10"/>
  <c r="AW19" i="10"/>
  <c r="AV23" i="10"/>
  <c r="AW23" i="10"/>
  <c r="AV27" i="10"/>
  <c r="AW27" i="10"/>
  <c r="R36" i="10"/>
  <c r="S36" i="10"/>
  <c r="U36" i="10"/>
  <c r="BF36" i="10"/>
  <c r="R8" i="11"/>
  <c r="S8" i="11"/>
  <c r="U8" i="11"/>
  <c r="BF8" i="11"/>
  <c r="AV9" i="11"/>
  <c r="AW9" i="11"/>
  <c r="AV13" i="11"/>
  <c r="AW13" i="11"/>
  <c r="R26" i="11"/>
  <c r="S26" i="11"/>
  <c r="U26" i="11"/>
  <c r="BF26" i="11"/>
  <c r="L26" i="11"/>
  <c r="R16" i="12"/>
  <c r="S16" i="12"/>
  <c r="U16" i="12"/>
  <c r="BF16" i="12"/>
  <c r="L16" i="12"/>
  <c r="R18" i="11"/>
  <c r="S18" i="11"/>
  <c r="U18" i="11"/>
  <c r="BF18" i="11"/>
  <c r="L18" i="11"/>
  <c r="R20" i="12"/>
  <c r="S20" i="12"/>
  <c r="U20" i="12"/>
  <c r="BF20" i="12"/>
  <c r="L20" i="12"/>
  <c r="R22" i="13"/>
  <c r="S22" i="13"/>
  <c r="U22" i="13"/>
  <c r="BF22" i="13"/>
  <c r="L22" i="13"/>
  <c r="L26" i="8"/>
  <c r="R11" i="9"/>
  <c r="S11" i="9"/>
  <c r="U11" i="9"/>
  <c r="BF11" i="9"/>
  <c r="L14" i="10"/>
  <c r="L18" i="10"/>
  <c r="L22" i="10"/>
  <c r="L26" i="10"/>
  <c r="L11" i="11"/>
  <c r="AV11" i="11"/>
  <c r="AW11" i="11"/>
  <c r="R14" i="13"/>
  <c r="S14" i="13"/>
  <c r="U14" i="13"/>
  <c r="BF14" i="13"/>
  <c r="L14" i="13"/>
  <c r="R29" i="8"/>
  <c r="S29" i="8"/>
  <c r="U29" i="8"/>
  <c r="BF29" i="8"/>
  <c r="R33" i="8"/>
  <c r="S33" i="8"/>
  <c r="U33" i="8"/>
  <c r="BF33" i="8"/>
  <c r="L31" i="9"/>
  <c r="L36" i="9"/>
  <c r="U29" i="10"/>
  <c r="BF29" i="10"/>
  <c r="R33" i="10"/>
  <c r="S33" i="10"/>
  <c r="U33" i="10"/>
  <c r="BF33" i="10"/>
  <c r="R22" i="11"/>
  <c r="S22" i="11"/>
  <c r="U22" i="11"/>
  <c r="BF22" i="11"/>
  <c r="L22" i="11"/>
  <c r="R24" i="12"/>
  <c r="S24" i="12"/>
  <c r="U24" i="12"/>
  <c r="BF24" i="12"/>
  <c r="L24" i="12"/>
  <c r="R26" i="13"/>
  <c r="S26" i="13"/>
  <c r="U26" i="13"/>
  <c r="BF26" i="13"/>
  <c r="L26" i="13"/>
  <c r="R16" i="8"/>
  <c r="S16" i="8"/>
  <c r="U16" i="8"/>
  <c r="BF16" i="8"/>
  <c r="U20" i="8"/>
  <c r="BF20" i="8"/>
  <c r="U24" i="8"/>
  <c r="BF24" i="8"/>
  <c r="U16" i="10"/>
  <c r="BF16" i="10"/>
  <c r="U20" i="10"/>
  <c r="BF20" i="10"/>
  <c r="U24" i="10"/>
  <c r="BF24" i="10"/>
  <c r="R28" i="10"/>
  <c r="S28" i="10"/>
  <c r="L29" i="10"/>
  <c r="AV33" i="10"/>
  <c r="AW33" i="10"/>
  <c r="R14" i="11"/>
  <c r="S14" i="11"/>
  <c r="U14" i="11"/>
  <c r="BF14" i="11"/>
  <c r="AV36" i="11"/>
  <c r="AW36" i="11"/>
  <c r="R9" i="9"/>
  <c r="S9" i="9"/>
  <c r="U9" i="9"/>
  <c r="BF9" i="9"/>
  <c r="R29" i="9"/>
  <c r="S29" i="9"/>
  <c r="U29" i="9"/>
  <c r="BF29" i="9"/>
  <c r="R11" i="10"/>
  <c r="S11" i="10"/>
  <c r="U11" i="10"/>
  <c r="BF11" i="10"/>
  <c r="R9" i="11"/>
  <c r="S9" i="11"/>
  <c r="U9" i="11"/>
  <c r="BF9" i="11"/>
  <c r="R13" i="11"/>
  <c r="S13" i="11"/>
  <c r="U13" i="11"/>
  <c r="BF13" i="11"/>
  <c r="R18" i="13"/>
  <c r="S18" i="13"/>
  <c r="U18" i="13"/>
  <c r="BF18" i="13"/>
  <c r="L18" i="13"/>
  <c r="R31" i="11"/>
  <c r="S31" i="11"/>
  <c r="U31" i="11"/>
  <c r="BF31" i="11"/>
  <c r="AV8" i="12"/>
  <c r="AW8" i="12"/>
  <c r="AV12" i="12"/>
  <c r="AW12" i="12"/>
  <c r="R29" i="12"/>
  <c r="S29" i="12"/>
  <c r="U29" i="12"/>
  <c r="BF29" i="12"/>
  <c r="R33" i="12"/>
  <c r="S33" i="12"/>
  <c r="U33" i="12"/>
  <c r="BF33" i="12"/>
  <c r="R38" i="12"/>
  <c r="S38" i="12"/>
  <c r="U38" i="12"/>
  <c r="BF38" i="12"/>
  <c r="AV10" i="13"/>
  <c r="AW10" i="13"/>
  <c r="R31" i="13"/>
  <c r="S31" i="13"/>
  <c r="U31" i="13"/>
  <c r="BF31" i="13"/>
  <c r="AV11" i="14"/>
  <c r="AW11" i="14"/>
  <c r="L13" i="14"/>
  <c r="AV14" i="14"/>
  <c r="AW14" i="14"/>
  <c r="AV20" i="14"/>
  <c r="AW20" i="14"/>
  <c r="R9" i="15"/>
  <c r="S9" i="15"/>
  <c r="U9" i="15"/>
  <c r="BF9" i="15"/>
  <c r="L9" i="15"/>
  <c r="AV28" i="14"/>
  <c r="AW28" i="14"/>
  <c r="L11" i="12"/>
  <c r="AV23" i="12"/>
  <c r="AW23" i="12"/>
  <c r="AV27" i="12"/>
  <c r="AW27" i="12"/>
  <c r="R8" i="13"/>
  <c r="S8" i="13"/>
  <c r="U8" i="13"/>
  <c r="BF8" i="13"/>
  <c r="L9" i="13"/>
  <c r="L13" i="13"/>
  <c r="R35" i="13"/>
  <c r="S35" i="13"/>
  <c r="R38" i="11"/>
  <c r="S38" i="11"/>
  <c r="U38" i="11"/>
  <c r="BF38" i="11"/>
  <c r="R31" i="12"/>
  <c r="S31" i="12"/>
  <c r="U31" i="12"/>
  <c r="BF31" i="12"/>
  <c r="AV8" i="13"/>
  <c r="AW8" i="13"/>
  <c r="L9" i="14"/>
  <c r="U16" i="11"/>
  <c r="BF16" i="11"/>
  <c r="U20" i="11"/>
  <c r="BF20" i="11"/>
  <c r="U24" i="11"/>
  <c r="BF24" i="11"/>
  <c r="L38" i="11"/>
  <c r="U18" i="12"/>
  <c r="BF18" i="12"/>
  <c r="U22" i="12"/>
  <c r="BF22" i="12"/>
  <c r="U26" i="12"/>
  <c r="BF26" i="12"/>
  <c r="U16" i="13"/>
  <c r="BF16" i="13"/>
  <c r="R20" i="13"/>
  <c r="S20" i="13"/>
  <c r="U20" i="13"/>
  <c r="BF20" i="13"/>
  <c r="R24" i="13"/>
  <c r="S24" i="13"/>
  <c r="U24" i="13"/>
  <c r="BF24" i="13"/>
  <c r="R28" i="13"/>
  <c r="S28" i="13"/>
  <c r="L28" i="11"/>
  <c r="AV28" i="11"/>
  <c r="AW28" i="11"/>
  <c r="U9" i="12"/>
  <c r="BF9" i="12"/>
  <c r="R13" i="12"/>
  <c r="S13" i="12"/>
  <c r="U13" i="12"/>
  <c r="BF13" i="12"/>
  <c r="L18" i="12"/>
  <c r="AV18" i="12"/>
  <c r="AW18" i="12"/>
  <c r="U11" i="13"/>
  <c r="BF11" i="13"/>
  <c r="L16" i="13"/>
  <c r="AV16" i="13"/>
  <c r="AW16" i="13"/>
  <c r="AV24" i="13"/>
  <c r="AW24" i="13"/>
  <c r="L28" i="13"/>
  <c r="AV28" i="13"/>
  <c r="AW28" i="13"/>
  <c r="AV32" i="13"/>
  <c r="AW32" i="13"/>
  <c r="U8" i="14"/>
  <c r="BF8" i="14"/>
  <c r="AV16" i="14"/>
  <c r="AW16" i="14"/>
  <c r="AV19" i="11"/>
  <c r="AW19" i="11"/>
  <c r="AV23" i="11"/>
  <c r="AW23" i="11"/>
  <c r="R36" i="11"/>
  <c r="S36" i="11"/>
  <c r="U36" i="11"/>
  <c r="BF36" i="11"/>
  <c r="R8" i="12"/>
  <c r="S8" i="12"/>
  <c r="U8" i="12"/>
  <c r="BF8" i="12"/>
  <c r="AV17" i="12"/>
  <c r="AW17" i="12"/>
  <c r="R36" i="13"/>
  <c r="S36" i="13"/>
  <c r="U36" i="13"/>
  <c r="BF36" i="13"/>
  <c r="R16" i="14"/>
  <c r="S16" i="14"/>
  <c r="U16" i="14"/>
  <c r="BF16" i="14"/>
  <c r="R20" i="14"/>
  <c r="S20" i="14"/>
  <c r="U20" i="14"/>
  <c r="BF20" i="14"/>
  <c r="R24" i="14"/>
  <c r="S24" i="14"/>
  <c r="U24" i="14"/>
  <c r="BF24" i="14"/>
  <c r="R28" i="14"/>
  <c r="S28" i="14"/>
  <c r="AV29" i="14"/>
  <c r="AW29" i="14"/>
  <c r="AV33" i="14"/>
  <c r="AW33" i="14"/>
  <c r="AV14" i="15"/>
  <c r="AW14" i="15"/>
  <c r="AV18" i="15"/>
  <c r="AW18" i="15"/>
  <c r="AV22" i="15"/>
  <c r="AW22" i="15"/>
  <c r="AV26" i="15"/>
  <c r="AW26" i="15"/>
  <c r="AV30" i="15"/>
  <c r="AW30" i="15"/>
  <c r="AV34" i="15"/>
  <c r="AW34" i="15"/>
  <c r="R14" i="16"/>
  <c r="S14" i="16"/>
  <c r="U14" i="16"/>
  <c r="BF14" i="16"/>
  <c r="R18" i="16"/>
  <c r="S18" i="16"/>
  <c r="U18" i="16"/>
  <c r="BF18" i="16"/>
  <c r="R22" i="16"/>
  <c r="S22" i="16"/>
  <c r="U22" i="16"/>
  <c r="BF22" i="16"/>
  <c r="R26" i="16"/>
  <c r="S26" i="16"/>
  <c r="U26" i="16"/>
  <c r="BF26" i="16"/>
  <c r="AV31" i="16"/>
  <c r="AW31" i="16"/>
  <c r="L9" i="16"/>
  <c r="L13" i="16"/>
  <c r="R35" i="16"/>
  <c r="S35" i="16"/>
  <c r="U35" i="16"/>
  <c r="BF35" i="16"/>
  <c r="R31" i="14"/>
  <c r="S31" i="14"/>
  <c r="U31" i="14"/>
  <c r="BF31" i="14"/>
  <c r="L36" i="14"/>
  <c r="L8" i="15"/>
  <c r="R12" i="15"/>
  <c r="S12" i="15"/>
  <c r="U12" i="15"/>
  <c r="BF12" i="15"/>
  <c r="R16" i="15"/>
  <c r="S16" i="15"/>
  <c r="U16" i="15"/>
  <c r="BF16" i="15"/>
  <c r="R20" i="15"/>
  <c r="S20" i="15"/>
  <c r="U20" i="15"/>
  <c r="BF20" i="15"/>
  <c r="R24" i="15"/>
  <c r="S24" i="15"/>
  <c r="U24" i="15"/>
  <c r="BF24" i="15"/>
  <c r="R28" i="15"/>
  <c r="S28" i="15"/>
  <c r="U28" i="15"/>
  <c r="BF28" i="15"/>
  <c r="R32" i="15"/>
  <c r="S32" i="15"/>
  <c r="U32" i="15"/>
  <c r="BF32" i="15"/>
  <c r="R36" i="15"/>
  <c r="S36" i="15"/>
  <c r="U36" i="15"/>
  <c r="BF36" i="15"/>
  <c r="L8" i="16"/>
  <c r="R29" i="16"/>
  <c r="S29" i="16"/>
  <c r="U29" i="16"/>
  <c r="BF29" i="16"/>
  <c r="R33" i="16"/>
  <c r="S33" i="16"/>
  <c r="U33" i="16"/>
  <c r="BF33" i="16"/>
  <c r="R14" i="14"/>
  <c r="S14" i="14"/>
  <c r="U14" i="14"/>
  <c r="BF14" i="14"/>
  <c r="R18" i="14"/>
  <c r="S18" i="14"/>
  <c r="U18" i="14"/>
  <c r="BF18" i="14"/>
  <c r="R22" i="14"/>
  <c r="S22" i="14"/>
  <c r="U22" i="14"/>
  <c r="BF22" i="14"/>
  <c r="R26" i="14"/>
  <c r="S26" i="14"/>
  <c r="U26" i="14"/>
  <c r="BF26" i="14"/>
  <c r="L31" i="14"/>
  <c r="AV31" i="14"/>
  <c r="AW31" i="14"/>
  <c r="L12" i="15"/>
  <c r="AV12" i="15"/>
  <c r="AW12" i="15"/>
  <c r="L16" i="15"/>
  <c r="AV16" i="15"/>
  <c r="AW16" i="15"/>
  <c r="L20" i="15"/>
  <c r="AV20" i="15"/>
  <c r="AW20" i="15"/>
  <c r="L24" i="15"/>
  <c r="AV24" i="15"/>
  <c r="AW24" i="15"/>
  <c r="L28" i="15"/>
  <c r="AV28" i="15"/>
  <c r="AW28" i="15"/>
  <c r="L32" i="15"/>
  <c r="AV32" i="15"/>
  <c r="AW32" i="15"/>
  <c r="L36" i="15"/>
  <c r="AV36" i="15"/>
  <c r="AW36" i="15"/>
  <c r="R16" i="16"/>
  <c r="S16" i="16"/>
  <c r="U16" i="16"/>
  <c r="BF16" i="16"/>
  <c r="R20" i="16"/>
  <c r="S20" i="16"/>
  <c r="U20" i="16"/>
  <c r="BF20" i="16"/>
  <c r="R24" i="16"/>
  <c r="S24" i="16"/>
  <c r="U24" i="16"/>
  <c r="BF24" i="16"/>
  <c r="R28" i="16"/>
  <c r="S28" i="16"/>
  <c r="U28" i="16"/>
  <c r="BF28" i="16"/>
  <c r="L29" i="16"/>
  <c r="AV29" i="16"/>
  <c r="AW29" i="16"/>
  <c r="L33" i="16"/>
  <c r="AV33" i="16"/>
  <c r="AW33" i="16"/>
  <c r="L38" i="16"/>
  <c r="U11" i="16"/>
  <c r="BF11" i="16"/>
  <c r="R35" i="14"/>
  <c r="S35" i="14"/>
  <c r="U35" i="14"/>
  <c r="BF35" i="14"/>
  <c r="L11" i="16"/>
  <c r="R36" i="16"/>
  <c r="S36" i="16"/>
  <c r="U36" i="16"/>
  <c r="BF36" i="16"/>
  <c r="R29" i="14"/>
  <c r="S29" i="14"/>
  <c r="U29" i="14"/>
  <c r="BF29" i="14"/>
  <c r="R33" i="14"/>
  <c r="S33" i="14"/>
  <c r="U33" i="14"/>
  <c r="BF33" i="14"/>
  <c r="R38" i="14"/>
  <c r="S38" i="14"/>
  <c r="U38" i="14"/>
  <c r="BF38" i="14"/>
  <c r="R14" i="15"/>
  <c r="S14" i="15"/>
  <c r="U14" i="15"/>
  <c r="BF14" i="15"/>
  <c r="R18" i="15"/>
  <c r="S18" i="15"/>
  <c r="U18" i="15"/>
  <c r="BF18" i="15"/>
  <c r="R22" i="15"/>
  <c r="S22" i="15"/>
  <c r="U22" i="15"/>
  <c r="BF22" i="15"/>
  <c r="R26" i="15"/>
  <c r="S26" i="15"/>
  <c r="U26" i="15"/>
  <c r="BF26" i="15"/>
  <c r="R30" i="15"/>
  <c r="S30" i="15"/>
  <c r="U30" i="15"/>
  <c r="BF30" i="15"/>
  <c r="R34" i="15"/>
  <c r="S34" i="15"/>
  <c r="U34" i="15"/>
  <c r="BF34" i="15"/>
  <c r="R31" i="16"/>
  <c r="S31" i="16"/>
  <c r="U31" i="16"/>
  <c r="BF31" i="16"/>
  <c r="L36" i="16"/>
  <c r="AW40" i="12"/>
  <c r="AW40" i="16"/>
  <c r="Y40" i="11"/>
  <c r="Y40" i="13"/>
  <c r="Y40" i="15"/>
  <c r="AW40" i="15"/>
  <c r="Y40" i="16"/>
  <c r="AW40" i="9"/>
  <c r="AW40" i="11"/>
  <c r="L14" i="7"/>
  <c r="U11" i="7"/>
  <c r="BF11" i="7"/>
  <c r="L11" i="7"/>
  <c r="AW40" i="13"/>
  <c r="AW40" i="10"/>
  <c r="R10" i="16"/>
  <c r="S10" i="16"/>
  <c r="U10" i="16"/>
  <c r="BF10" i="16"/>
  <c r="R12" i="16"/>
  <c r="S12" i="16"/>
  <c r="U12" i="16"/>
  <c r="BF12" i="16"/>
  <c r="R15" i="16"/>
  <c r="S15" i="16"/>
  <c r="U15" i="16"/>
  <c r="BF15" i="16"/>
  <c r="R17" i="16"/>
  <c r="S17" i="16"/>
  <c r="U17" i="16"/>
  <c r="BF17" i="16"/>
  <c r="R19" i="16"/>
  <c r="S19" i="16"/>
  <c r="U19" i="16"/>
  <c r="BF19" i="16"/>
  <c r="R21" i="16"/>
  <c r="S21" i="16"/>
  <c r="U21" i="16"/>
  <c r="BF21" i="16"/>
  <c r="R23" i="16"/>
  <c r="S23" i="16"/>
  <c r="U23" i="16"/>
  <c r="BF23" i="16"/>
  <c r="R25" i="16"/>
  <c r="S25" i="16"/>
  <c r="U25" i="16"/>
  <c r="BF25" i="16"/>
  <c r="R27" i="16"/>
  <c r="S27" i="16"/>
  <c r="U27" i="16"/>
  <c r="BF27" i="16"/>
  <c r="R37" i="16"/>
  <c r="S37" i="16"/>
  <c r="U37" i="16"/>
  <c r="BF37" i="16"/>
  <c r="R30" i="16"/>
  <c r="S30" i="16"/>
  <c r="U30" i="16"/>
  <c r="BF30" i="16"/>
  <c r="R32" i="16"/>
  <c r="S32" i="16"/>
  <c r="U32" i="16"/>
  <c r="BF32" i="16"/>
  <c r="R34" i="16"/>
  <c r="S34" i="16"/>
  <c r="U34" i="16"/>
  <c r="BF34" i="16"/>
  <c r="AV35" i="16"/>
  <c r="AW35" i="16"/>
  <c r="AV37" i="16"/>
  <c r="AW37" i="16"/>
  <c r="R10" i="15"/>
  <c r="S10" i="15"/>
  <c r="U10" i="15"/>
  <c r="BF10" i="15"/>
  <c r="R11" i="15"/>
  <c r="S11" i="15"/>
  <c r="U11" i="15"/>
  <c r="BF11" i="15"/>
  <c r="AV11" i="15"/>
  <c r="AW11" i="15"/>
  <c r="R13" i="15"/>
  <c r="S13" i="15"/>
  <c r="U13" i="15"/>
  <c r="BF13" i="15"/>
  <c r="R15" i="15"/>
  <c r="S15" i="15"/>
  <c r="U15" i="15"/>
  <c r="BF15" i="15"/>
  <c r="R17" i="15"/>
  <c r="S17" i="15"/>
  <c r="U17" i="15"/>
  <c r="BF17" i="15"/>
  <c r="R19" i="15"/>
  <c r="S19" i="15"/>
  <c r="U19" i="15"/>
  <c r="BF19" i="15"/>
  <c r="R21" i="15"/>
  <c r="S21" i="15"/>
  <c r="U21" i="15"/>
  <c r="BF21" i="15"/>
  <c r="AV21" i="15"/>
  <c r="AW21" i="15"/>
  <c r="R23" i="15"/>
  <c r="S23" i="15"/>
  <c r="U23" i="15"/>
  <c r="BF23" i="15"/>
  <c r="R25" i="15"/>
  <c r="S25" i="15"/>
  <c r="U25" i="15"/>
  <c r="BF25" i="15"/>
  <c r="R27" i="15"/>
  <c r="S27" i="15"/>
  <c r="U27" i="15"/>
  <c r="BF27" i="15"/>
  <c r="R29" i="15"/>
  <c r="S29" i="15"/>
  <c r="U29" i="15"/>
  <c r="BF29" i="15"/>
  <c r="AV29" i="15"/>
  <c r="AW29" i="15"/>
  <c r="R31" i="15"/>
  <c r="S31" i="15"/>
  <c r="U31" i="15"/>
  <c r="BF31" i="15"/>
  <c r="R33" i="15"/>
  <c r="S33" i="15"/>
  <c r="U33" i="15"/>
  <c r="BF33" i="15"/>
  <c r="U35" i="15"/>
  <c r="BF35" i="15"/>
  <c r="L35" i="15"/>
  <c r="R37" i="15"/>
  <c r="S37" i="15"/>
  <c r="U37" i="15"/>
  <c r="BF37" i="15"/>
  <c r="R10" i="14"/>
  <c r="S10" i="14"/>
  <c r="U10" i="14"/>
  <c r="BF10" i="14"/>
  <c r="R12" i="14"/>
  <c r="S12" i="14"/>
  <c r="U12" i="14"/>
  <c r="BF12" i="14"/>
  <c r="R15" i="14"/>
  <c r="S15" i="14"/>
  <c r="U15" i="14"/>
  <c r="BF15" i="14"/>
  <c r="R17" i="14"/>
  <c r="S17" i="14"/>
  <c r="U17" i="14"/>
  <c r="BF17" i="14"/>
  <c r="R19" i="14"/>
  <c r="S19" i="14"/>
  <c r="U19" i="14"/>
  <c r="BF19" i="14"/>
  <c r="R21" i="14"/>
  <c r="S21" i="14"/>
  <c r="U21" i="14"/>
  <c r="BF21" i="14"/>
  <c r="R23" i="14"/>
  <c r="S23" i="14"/>
  <c r="U23" i="14"/>
  <c r="BF23" i="14"/>
  <c r="R25" i="14"/>
  <c r="S25" i="14"/>
  <c r="U25" i="14"/>
  <c r="BF25" i="14"/>
  <c r="R27" i="14"/>
  <c r="S27" i="14"/>
  <c r="U27" i="14"/>
  <c r="BF27" i="14"/>
  <c r="U28" i="14"/>
  <c r="BF28" i="14"/>
  <c r="R37" i="14"/>
  <c r="S37" i="14"/>
  <c r="R30" i="14"/>
  <c r="S30" i="14"/>
  <c r="U30" i="14"/>
  <c r="BF30" i="14"/>
  <c r="R32" i="14"/>
  <c r="S32" i="14"/>
  <c r="U32" i="14"/>
  <c r="BF32" i="14"/>
  <c r="R34" i="14"/>
  <c r="S34" i="14"/>
  <c r="U34" i="14"/>
  <c r="BF34" i="14"/>
  <c r="AV35" i="14"/>
  <c r="AW35" i="14"/>
  <c r="U37" i="14"/>
  <c r="BF37" i="14"/>
  <c r="AV37" i="14"/>
  <c r="AW37" i="14"/>
  <c r="R10" i="13"/>
  <c r="S10" i="13"/>
  <c r="U10" i="13"/>
  <c r="BF10" i="13"/>
  <c r="R12" i="13"/>
  <c r="S12" i="13"/>
  <c r="U12" i="13"/>
  <c r="BF12" i="13"/>
  <c r="R15" i="13"/>
  <c r="S15" i="13"/>
  <c r="U15" i="13"/>
  <c r="BF15" i="13"/>
  <c r="R17" i="13"/>
  <c r="S17" i="13"/>
  <c r="U17" i="13"/>
  <c r="BF17" i="13"/>
  <c r="R19" i="13"/>
  <c r="S19" i="13"/>
  <c r="U19" i="13"/>
  <c r="BF19" i="13"/>
  <c r="R21" i="13"/>
  <c r="S21" i="13"/>
  <c r="U21" i="13"/>
  <c r="BF21" i="13"/>
  <c r="R23" i="13"/>
  <c r="S23" i="13"/>
  <c r="U23" i="13"/>
  <c r="BF23" i="13"/>
  <c r="R25" i="13"/>
  <c r="S25" i="13"/>
  <c r="U25" i="13"/>
  <c r="BF25" i="13"/>
  <c r="R27" i="13"/>
  <c r="S27" i="13"/>
  <c r="U27" i="13"/>
  <c r="BF27" i="13"/>
  <c r="U28" i="13"/>
  <c r="BF28" i="13"/>
  <c r="R37" i="13"/>
  <c r="S37" i="13"/>
  <c r="U37" i="13"/>
  <c r="BF37" i="13"/>
  <c r="R30" i="13"/>
  <c r="S30" i="13"/>
  <c r="U30" i="13"/>
  <c r="BF30" i="13"/>
  <c r="R32" i="13"/>
  <c r="S32" i="13"/>
  <c r="U32" i="13"/>
  <c r="BF32" i="13"/>
  <c r="R34" i="13"/>
  <c r="S34" i="13"/>
  <c r="U34" i="13"/>
  <c r="BF34" i="13"/>
  <c r="U35" i="13"/>
  <c r="BF35" i="13"/>
  <c r="AV35" i="13"/>
  <c r="AW35" i="13"/>
  <c r="AV37" i="13"/>
  <c r="AW37" i="13"/>
  <c r="R10" i="12"/>
  <c r="S10" i="12"/>
  <c r="U10" i="12"/>
  <c r="BF10" i="12"/>
  <c r="R12" i="12"/>
  <c r="S12" i="12"/>
  <c r="U12" i="12"/>
  <c r="BF12" i="12"/>
  <c r="R15" i="12"/>
  <c r="S15" i="12"/>
  <c r="U15" i="12"/>
  <c r="BF15" i="12"/>
  <c r="R17" i="12"/>
  <c r="S17" i="12"/>
  <c r="U17" i="12"/>
  <c r="BF17" i="12"/>
  <c r="R19" i="12"/>
  <c r="S19" i="12"/>
  <c r="U19" i="12"/>
  <c r="BF19" i="12"/>
  <c r="R21" i="12"/>
  <c r="S21" i="12"/>
  <c r="U21" i="12"/>
  <c r="BF21" i="12"/>
  <c r="R23" i="12"/>
  <c r="S23" i="12"/>
  <c r="U23" i="12"/>
  <c r="BF23" i="12"/>
  <c r="R25" i="12"/>
  <c r="S25" i="12"/>
  <c r="U25" i="12"/>
  <c r="BF25" i="12"/>
  <c r="R27" i="12"/>
  <c r="S27" i="12"/>
  <c r="U27" i="12"/>
  <c r="BF27" i="12"/>
  <c r="U28" i="12"/>
  <c r="BF28" i="12"/>
  <c r="R37" i="12"/>
  <c r="S37" i="12"/>
  <c r="R30" i="12"/>
  <c r="S30" i="12"/>
  <c r="U30" i="12"/>
  <c r="BF30" i="12"/>
  <c r="R32" i="12"/>
  <c r="S32" i="12"/>
  <c r="U32" i="12"/>
  <c r="BF32" i="12"/>
  <c r="R34" i="12"/>
  <c r="S34" i="12"/>
  <c r="U34" i="12"/>
  <c r="BF34" i="12"/>
  <c r="U35" i="12"/>
  <c r="BF35" i="12"/>
  <c r="AV35" i="12"/>
  <c r="AW35" i="12"/>
  <c r="U37" i="12"/>
  <c r="BF37" i="12"/>
  <c r="AV37" i="12"/>
  <c r="AW37" i="12"/>
  <c r="R10" i="11"/>
  <c r="S10" i="11"/>
  <c r="U10" i="11"/>
  <c r="BF10" i="11"/>
  <c r="R12" i="11"/>
  <c r="S12" i="11"/>
  <c r="U12" i="11"/>
  <c r="BF12" i="11"/>
  <c r="R15" i="11"/>
  <c r="S15" i="11"/>
  <c r="U15" i="11"/>
  <c r="BF15" i="11"/>
  <c r="R17" i="11"/>
  <c r="S17" i="11"/>
  <c r="U17" i="11"/>
  <c r="BF17" i="11"/>
  <c r="R19" i="11"/>
  <c r="S19" i="11"/>
  <c r="U19" i="11"/>
  <c r="BF19" i="11"/>
  <c r="R21" i="11"/>
  <c r="S21" i="11"/>
  <c r="U21" i="11"/>
  <c r="BF21" i="11"/>
  <c r="R23" i="11"/>
  <c r="S23" i="11"/>
  <c r="U23" i="11"/>
  <c r="BF23" i="11"/>
  <c r="R25" i="11"/>
  <c r="S25" i="11"/>
  <c r="U25" i="11"/>
  <c r="BF25" i="11"/>
  <c r="R27" i="11"/>
  <c r="S27" i="11"/>
  <c r="U27" i="11"/>
  <c r="BF27" i="11"/>
  <c r="U28" i="11"/>
  <c r="BF28" i="11"/>
  <c r="R37" i="11"/>
  <c r="S37" i="11"/>
  <c r="U37" i="11"/>
  <c r="BF37" i="11"/>
  <c r="R30" i="11"/>
  <c r="S30" i="11"/>
  <c r="U30" i="11"/>
  <c r="BF30" i="11"/>
  <c r="R32" i="11"/>
  <c r="S32" i="11"/>
  <c r="U32" i="11"/>
  <c r="BF32" i="11"/>
  <c r="R34" i="11"/>
  <c r="S34" i="11"/>
  <c r="U34" i="11"/>
  <c r="BF34" i="11"/>
  <c r="AV35" i="11"/>
  <c r="AW35" i="11"/>
  <c r="AV37" i="11"/>
  <c r="AW37" i="11"/>
  <c r="AW40" i="8"/>
  <c r="R10" i="10"/>
  <c r="S10" i="10"/>
  <c r="U10" i="10"/>
  <c r="BF10" i="10"/>
  <c r="R12" i="10"/>
  <c r="S12" i="10"/>
  <c r="U12" i="10"/>
  <c r="BF12" i="10"/>
  <c r="R15" i="10"/>
  <c r="S15" i="10"/>
  <c r="U15" i="10"/>
  <c r="BF15" i="10"/>
  <c r="R17" i="10"/>
  <c r="S17" i="10"/>
  <c r="U17" i="10"/>
  <c r="BF17" i="10"/>
  <c r="R19" i="10"/>
  <c r="S19" i="10"/>
  <c r="U19" i="10"/>
  <c r="BF19" i="10"/>
  <c r="R21" i="10"/>
  <c r="S21" i="10"/>
  <c r="U21" i="10"/>
  <c r="BF21" i="10"/>
  <c r="R23" i="10"/>
  <c r="S23" i="10"/>
  <c r="U23" i="10"/>
  <c r="BF23" i="10"/>
  <c r="R25" i="10"/>
  <c r="S25" i="10"/>
  <c r="U25" i="10"/>
  <c r="BF25" i="10"/>
  <c r="R27" i="10"/>
  <c r="S27" i="10"/>
  <c r="U27" i="10"/>
  <c r="BF27" i="10"/>
  <c r="U28" i="10"/>
  <c r="BF28" i="10"/>
  <c r="R37" i="10"/>
  <c r="S37" i="10"/>
  <c r="U37" i="10"/>
  <c r="BF37" i="10"/>
  <c r="R30" i="10"/>
  <c r="S30" i="10"/>
  <c r="U30" i="10"/>
  <c r="BF30" i="10"/>
  <c r="R32" i="10"/>
  <c r="S32" i="10"/>
  <c r="U32" i="10"/>
  <c r="BF32" i="10"/>
  <c r="R34" i="10"/>
  <c r="S34" i="10"/>
  <c r="U34" i="10"/>
  <c r="BF34" i="10"/>
  <c r="U35" i="10"/>
  <c r="BF35" i="10"/>
  <c r="AV35" i="10"/>
  <c r="AW35" i="10"/>
  <c r="AV37" i="10"/>
  <c r="AW37" i="10"/>
  <c r="R10" i="9"/>
  <c r="S10" i="9"/>
  <c r="U10" i="9"/>
  <c r="BF10" i="9"/>
  <c r="U13" i="9"/>
  <c r="BF13" i="9"/>
  <c r="U15" i="9"/>
  <c r="BF15" i="9"/>
  <c r="U17" i="9"/>
  <c r="BF17" i="9"/>
  <c r="U19" i="9"/>
  <c r="BF19" i="9"/>
  <c r="R12" i="9"/>
  <c r="S12" i="9"/>
  <c r="U12" i="9"/>
  <c r="BF12" i="9"/>
  <c r="L13" i="9"/>
  <c r="R14" i="9"/>
  <c r="S14" i="9"/>
  <c r="U14" i="9"/>
  <c r="BF14" i="9"/>
  <c r="L15" i="9"/>
  <c r="R16" i="9"/>
  <c r="S16" i="9"/>
  <c r="U16" i="9"/>
  <c r="BF16" i="9"/>
  <c r="L17" i="9"/>
  <c r="R18" i="9"/>
  <c r="S18" i="9"/>
  <c r="U18" i="9"/>
  <c r="BF18" i="9"/>
  <c r="L19" i="9"/>
  <c r="R20" i="9"/>
  <c r="S20" i="9"/>
  <c r="U20" i="9"/>
  <c r="BF20" i="9"/>
  <c r="R21" i="9"/>
  <c r="S21" i="9"/>
  <c r="U21" i="9"/>
  <c r="BF21" i="9"/>
  <c r="R23" i="9"/>
  <c r="S23" i="9"/>
  <c r="U23" i="9"/>
  <c r="BF23" i="9"/>
  <c r="R25" i="9"/>
  <c r="S25" i="9"/>
  <c r="U25" i="9"/>
  <c r="BF25" i="9"/>
  <c r="R27" i="9"/>
  <c r="S27" i="9"/>
  <c r="U27" i="9"/>
  <c r="BF27" i="9"/>
  <c r="R30" i="9"/>
  <c r="S30" i="9"/>
  <c r="U30" i="9"/>
  <c r="BF30" i="9"/>
  <c r="R32" i="9"/>
  <c r="S32" i="9"/>
  <c r="AV28" i="9"/>
  <c r="AW28" i="9"/>
  <c r="AV30" i="9"/>
  <c r="AW30" i="9"/>
  <c r="U32" i="9"/>
  <c r="BF32" i="9"/>
  <c r="R34" i="9"/>
  <c r="S34" i="9"/>
  <c r="U34" i="9"/>
  <c r="BF34" i="9"/>
  <c r="R37" i="9"/>
  <c r="S37" i="9"/>
  <c r="U37" i="9"/>
  <c r="BF37" i="9"/>
  <c r="U35" i="9"/>
  <c r="BF35" i="9"/>
  <c r="AV35" i="9"/>
  <c r="AW35" i="9"/>
  <c r="AV37" i="9"/>
  <c r="AW37" i="9"/>
  <c r="R10" i="8"/>
  <c r="S10" i="8"/>
  <c r="U10" i="8"/>
  <c r="BF10" i="8"/>
  <c r="R12" i="8"/>
  <c r="S12" i="8"/>
  <c r="U12" i="8"/>
  <c r="BF12" i="8"/>
  <c r="R15" i="8"/>
  <c r="S15" i="8"/>
  <c r="U15" i="8"/>
  <c r="BF15" i="8"/>
  <c r="R17" i="8"/>
  <c r="S17" i="8"/>
  <c r="U17" i="8"/>
  <c r="BF17" i="8"/>
  <c r="R19" i="8"/>
  <c r="S19" i="8"/>
  <c r="U19" i="8"/>
  <c r="BF19" i="8"/>
  <c r="R21" i="8"/>
  <c r="S21" i="8"/>
  <c r="U21" i="8"/>
  <c r="BF21" i="8"/>
  <c r="R23" i="8"/>
  <c r="S23" i="8"/>
  <c r="U23" i="8"/>
  <c r="BF23" i="8"/>
  <c r="R25" i="8"/>
  <c r="S25" i="8"/>
  <c r="U25" i="8"/>
  <c r="BF25" i="8"/>
  <c r="R27" i="8"/>
  <c r="S27" i="8"/>
  <c r="U27" i="8"/>
  <c r="BF27" i="8"/>
  <c r="U28" i="8"/>
  <c r="BF28" i="8"/>
  <c r="R37" i="8"/>
  <c r="S37" i="8"/>
  <c r="U37" i="8"/>
  <c r="BF37" i="8"/>
  <c r="R30" i="8"/>
  <c r="S30" i="8"/>
  <c r="U30" i="8"/>
  <c r="BF30" i="8"/>
  <c r="R32" i="8"/>
  <c r="S32" i="8"/>
  <c r="U32" i="8"/>
  <c r="BF32" i="8"/>
  <c r="R34" i="8"/>
  <c r="S34" i="8"/>
  <c r="U34" i="8"/>
  <c r="BF34" i="8"/>
  <c r="U35" i="8"/>
  <c r="BF35" i="8"/>
  <c r="AV35" i="8"/>
  <c r="AW35" i="8"/>
  <c r="AV37" i="8"/>
  <c r="AW37" i="8"/>
  <c r="R10" i="7"/>
  <c r="S10" i="7"/>
  <c r="U10" i="7"/>
  <c r="BF10" i="7"/>
  <c r="R12" i="7"/>
  <c r="S12" i="7"/>
  <c r="U12" i="7"/>
  <c r="BF12" i="7"/>
  <c r="R15" i="7"/>
  <c r="S15" i="7"/>
  <c r="U15" i="7"/>
  <c r="BF15" i="7"/>
  <c r="R17" i="7"/>
  <c r="S17" i="7"/>
  <c r="U17" i="7"/>
  <c r="BF17" i="7"/>
  <c r="R19" i="7"/>
  <c r="S19" i="7"/>
  <c r="U19" i="7"/>
  <c r="BF19" i="7"/>
  <c r="R21" i="7"/>
  <c r="S21" i="7"/>
  <c r="U21" i="7"/>
  <c r="BF21" i="7"/>
  <c r="R23" i="7"/>
  <c r="S23" i="7"/>
  <c r="U23" i="7"/>
  <c r="BF23" i="7"/>
  <c r="R25" i="7"/>
  <c r="S25" i="7"/>
  <c r="U25" i="7"/>
  <c r="BF25" i="7"/>
  <c r="R27" i="7"/>
  <c r="S27" i="7"/>
  <c r="U27" i="7"/>
  <c r="BF27" i="7"/>
  <c r="U28" i="7"/>
  <c r="BF28" i="7"/>
  <c r="R37" i="7"/>
  <c r="S37" i="7"/>
  <c r="U37" i="7"/>
  <c r="BF37" i="7"/>
  <c r="R30" i="7"/>
  <c r="S30" i="7"/>
  <c r="U30" i="7"/>
  <c r="BF30" i="7"/>
  <c r="R32" i="7"/>
  <c r="S32" i="7"/>
  <c r="U32" i="7"/>
  <c r="BF32" i="7"/>
  <c r="R34" i="7"/>
  <c r="S34" i="7"/>
  <c r="U34" i="7"/>
  <c r="BF34" i="7"/>
  <c r="U35" i="7"/>
  <c r="BF35" i="7"/>
  <c r="AV35" i="7"/>
  <c r="AW35" i="7"/>
  <c r="AV37" i="7"/>
  <c r="AW37" i="7"/>
  <c r="K43" i="12"/>
  <c r="K43" i="15"/>
  <c r="K43" i="7"/>
  <c r="K43" i="13"/>
  <c r="K43" i="16"/>
  <c r="K43" i="10"/>
  <c r="K43" i="8"/>
  <c r="K43" i="14"/>
  <c r="K43" i="11"/>
  <c r="K43" i="9"/>
  <c r="Y8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G12" i="1"/>
  <c r="G11" i="1"/>
  <c r="I11" i="1"/>
  <c r="H11" i="1"/>
  <c r="D28" i="1"/>
  <c r="AU8" i="17"/>
  <c r="AG8" i="17"/>
  <c r="AI8" i="17"/>
  <c r="AC8" i="17"/>
  <c r="AT8" i="17"/>
  <c r="AG9" i="17"/>
  <c r="AC9" i="17"/>
  <c r="AI9" i="17"/>
  <c r="AT9" i="17"/>
  <c r="AU9" i="17"/>
  <c r="AU10" i="17"/>
  <c r="AG10" i="17"/>
  <c r="AI10" i="17"/>
  <c r="AC10" i="17"/>
  <c r="AT10" i="17"/>
  <c r="AU11" i="17"/>
  <c r="AT11" i="17"/>
  <c r="AG11" i="17"/>
  <c r="AI11" i="17"/>
  <c r="AC11" i="17"/>
  <c r="AG12" i="17"/>
  <c r="AT12" i="17"/>
  <c r="AI12" i="17"/>
  <c r="AU12" i="17"/>
  <c r="AC12" i="17"/>
  <c r="AU13" i="17"/>
  <c r="AG13" i="17"/>
  <c r="AI13" i="17"/>
  <c r="AT13" i="17"/>
  <c r="AC13" i="17"/>
  <c r="AU14" i="17"/>
  <c r="AG14" i="17"/>
  <c r="AT14" i="17"/>
  <c r="AI14" i="17"/>
  <c r="AC14" i="17"/>
  <c r="AU15" i="17"/>
  <c r="AG15" i="17"/>
  <c r="AT15" i="17"/>
  <c r="AI15" i="17"/>
  <c r="AC15" i="17"/>
  <c r="AG16" i="17"/>
  <c r="AT16" i="17"/>
  <c r="AI16" i="17"/>
  <c r="AC16" i="17"/>
  <c r="AU16" i="17"/>
  <c r="AG17" i="17"/>
  <c r="AI17" i="17"/>
  <c r="AC17" i="17"/>
  <c r="AU17" i="17"/>
  <c r="AT17" i="17"/>
  <c r="AU18" i="17"/>
  <c r="AG18" i="17"/>
  <c r="AT18" i="17"/>
  <c r="AI18" i="17"/>
  <c r="AC18" i="17"/>
  <c r="AG19" i="17"/>
  <c r="AU19" i="17"/>
  <c r="AI19" i="17"/>
  <c r="AC19" i="17"/>
  <c r="AT19" i="17"/>
  <c r="AG20" i="17"/>
  <c r="AI20" i="17"/>
  <c r="AU20" i="17"/>
  <c r="AC20" i="17"/>
  <c r="AT20" i="17"/>
  <c r="AG21" i="17"/>
  <c r="AI21" i="17"/>
  <c r="AC21" i="17"/>
  <c r="AU21" i="17"/>
  <c r="AT21" i="17"/>
  <c r="AG22" i="17"/>
  <c r="AI22" i="17"/>
  <c r="AU22" i="17"/>
  <c r="AT22" i="17"/>
  <c r="AC22" i="17"/>
  <c r="AU23" i="17"/>
  <c r="AI23" i="17"/>
  <c r="AG23" i="17"/>
  <c r="AT23" i="17"/>
  <c r="AC23" i="17"/>
  <c r="AI24" i="17"/>
  <c r="AT24" i="17"/>
  <c r="AG24" i="17"/>
  <c r="AU24" i="17"/>
  <c r="AC24" i="17"/>
  <c r="AG25" i="17"/>
  <c r="AI25" i="17"/>
  <c r="AU25" i="17"/>
  <c r="AC25" i="17"/>
  <c r="AT25" i="17"/>
  <c r="AU26" i="17"/>
  <c r="AT26" i="17"/>
  <c r="AG26" i="17"/>
  <c r="AI26" i="17"/>
  <c r="AC26" i="17"/>
  <c r="AU27" i="17"/>
  <c r="AC27" i="17"/>
  <c r="AT27" i="17"/>
  <c r="AG27" i="17"/>
  <c r="AI27" i="17"/>
  <c r="AC28" i="17"/>
  <c r="AG28" i="17"/>
  <c r="AU28" i="17"/>
  <c r="AI28" i="17"/>
  <c r="AT28" i="17"/>
  <c r="AC29" i="17"/>
  <c r="AG29" i="17"/>
  <c r="AI29" i="17"/>
  <c r="AT29" i="17"/>
  <c r="AU29" i="17"/>
  <c r="AU30" i="17"/>
  <c r="AC30" i="17"/>
  <c r="AG30" i="17"/>
  <c r="AI30" i="17"/>
  <c r="AT30" i="17"/>
  <c r="AU31" i="17"/>
  <c r="AC31" i="17"/>
  <c r="AG31" i="17"/>
  <c r="AI31" i="17"/>
  <c r="AT31" i="17"/>
  <c r="AG32" i="17"/>
  <c r="AI32" i="17"/>
  <c r="AT32" i="17"/>
  <c r="AC32" i="17"/>
  <c r="AU32" i="17"/>
  <c r="AU33" i="17"/>
  <c r="AG33" i="17"/>
  <c r="AI33" i="17"/>
  <c r="AC33" i="17"/>
  <c r="AT33" i="17"/>
  <c r="AU34" i="17"/>
  <c r="AT34" i="17"/>
  <c r="AG34" i="17"/>
  <c r="AI34" i="17"/>
  <c r="AC34" i="17"/>
  <c r="AG35" i="17"/>
  <c r="AU35" i="17"/>
  <c r="AI35" i="17"/>
  <c r="AC35" i="17"/>
  <c r="AT35" i="17"/>
  <c r="AC36" i="17"/>
  <c r="AG36" i="17"/>
  <c r="AI36" i="17"/>
  <c r="AU36" i="17"/>
  <c r="AT36" i="17"/>
  <c r="AI35" i="16"/>
  <c r="AG34" i="16"/>
  <c r="AI31" i="16"/>
  <c r="AG30" i="16"/>
  <c r="AG26" i="16"/>
  <c r="AU25" i="16"/>
  <c r="AC25" i="16"/>
  <c r="AG22" i="16"/>
  <c r="AU21" i="16"/>
  <c r="AC21" i="16"/>
  <c r="AG18" i="16"/>
  <c r="AU17" i="16"/>
  <c r="AC17" i="16"/>
  <c r="AG14" i="16"/>
  <c r="AU13" i="16"/>
  <c r="AC13" i="16"/>
  <c r="AT12" i="16"/>
  <c r="AU9" i="16"/>
  <c r="AC9" i="16"/>
  <c r="AT8" i="16"/>
  <c r="AG37" i="15"/>
  <c r="AI34" i="15"/>
  <c r="AG33" i="15"/>
  <c r="AI30" i="15"/>
  <c r="AG29" i="15"/>
  <c r="AI26" i="15"/>
  <c r="AG25" i="15"/>
  <c r="AI22" i="15"/>
  <c r="AG21" i="15"/>
  <c r="AI18" i="15"/>
  <c r="AG17" i="15"/>
  <c r="AI14" i="15"/>
  <c r="AG13" i="15"/>
  <c r="AU9" i="15"/>
  <c r="AC9" i="15"/>
  <c r="AT8" i="15"/>
  <c r="AI38" i="14"/>
  <c r="AG37" i="14"/>
  <c r="AT36" i="14"/>
  <c r="AI33" i="14"/>
  <c r="AG32" i="14"/>
  <c r="AI29" i="14"/>
  <c r="AG28" i="14"/>
  <c r="AU27" i="14"/>
  <c r="AC27" i="14"/>
  <c r="AG24" i="14"/>
  <c r="AU23" i="14"/>
  <c r="AC23" i="14"/>
  <c r="AG20" i="14"/>
  <c r="AU19" i="14"/>
  <c r="AC19" i="14"/>
  <c r="AG16" i="14"/>
  <c r="AU15" i="14"/>
  <c r="AC15" i="14"/>
  <c r="AU11" i="14"/>
  <c r="AC11" i="14"/>
  <c r="AT10" i="14"/>
  <c r="AI36" i="16"/>
  <c r="AG35" i="16"/>
  <c r="AU34" i="16"/>
  <c r="AC34" i="16"/>
  <c r="AG31" i="16"/>
  <c r="AU30" i="16"/>
  <c r="AC30" i="16"/>
  <c r="AU26" i="16"/>
  <c r="AC26" i="16"/>
  <c r="AT25" i="16"/>
  <c r="AU22" i="16"/>
  <c r="AC22" i="16"/>
  <c r="AT21" i="16"/>
  <c r="AU18" i="16"/>
  <c r="AC18" i="16"/>
  <c r="AT17" i="16"/>
  <c r="AU14" i="16"/>
  <c r="AC14" i="16"/>
  <c r="AT13" i="16"/>
  <c r="AI10" i="16"/>
  <c r="AT9" i="16"/>
  <c r="AU37" i="15"/>
  <c r="AC37" i="15"/>
  <c r="AG34" i="15"/>
  <c r="AU33" i="15"/>
  <c r="AC33" i="15"/>
  <c r="AG30" i="15"/>
  <c r="AU29" i="15"/>
  <c r="AC29" i="15"/>
  <c r="AG26" i="15"/>
  <c r="AU25" i="15"/>
  <c r="AC25" i="15"/>
  <c r="AG22" i="15"/>
  <c r="AU21" i="15"/>
  <c r="AC21" i="15"/>
  <c r="AG18" i="15"/>
  <c r="AU17" i="15"/>
  <c r="AC17" i="15"/>
  <c r="AG14" i="15"/>
  <c r="AU13" i="15"/>
  <c r="AC13" i="15"/>
  <c r="AI10" i="15"/>
  <c r="AT9" i="15"/>
  <c r="AG38" i="14"/>
  <c r="AU37" i="14"/>
  <c r="AC37" i="14"/>
  <c r="AG33" i="14"/>
  <c r="AU32" i="14"/>
  <c r="AC32" i="14"/>
  <c r="AG29" i="14"/>
  <c r="AU28" i="14"/>
  <c r="AC28" i="14"/>
  <c r="AT27" i="14"/>
  <c r="AU24" i="14"/>
  <c r="AC24" i="14"/>
  <c r="AT23" i="14"/>
  <c r="AU20" i="14"/>
  <c r="AC20" i="14"/>
  <c r="AT19" i="14"/>
  <c r="AG36" i="16"/>
  <c r="AU35" i="16"/>
  <c r="AC35" i="16"/>
  <c r="AT34" i="16"/>
  <c r="AU31" i="16"/>
  <c r="AC31" i="16"/>
  <c r="AT30" i="16"/>
  <c r="AI27" i="16"/>
  <c r="AT26" i="16"/>
  <c r="AI23" i="16"/>
  <c r="AT22" i="16"/>
  <c r="AI19" i="16"/>
  <c r="AT18" i="16"/>
  <c r="AI15" i="16"/>
  <c r="AT14" i="16"/>
  <c r="AI11" i="16"/>
  <c r="AG10" i="16"/>
  <c r="AT37" i="15"/>
  <c r="AU34" i="15"/>
  <c r="AC34" i="15"/>
  <c r="AT33" i="15"/>
  <c r="AU30" i="15"/>
  <c r="AC30" i="15"/>
  <c r="AT29" i="15"/>
  <c r="AU26" i="15"/>
  <c r="AC26" i="15"/>
  <c r="AT25" i="15"/>
  <c r="AU22" i="15"/>
  <c r="AC22" i="15"/>
  <c r="AT21" i="15"/>
  <c r="AU18" i="15"/>
  <c r="AC18" i="15"/>
  <c r="AT17" i="15"/>
  <c r="AU14" i="15"/>
  <c r="AC14" i="15"/>
  <c r="AT13" i="15"/>
  <c r="AG10" i="15"/>
  <c r="AU38" i="14"/>
  <c r="AC38" i="14"/>
  <c r="AT37" i="14"/>
  <c r="AU33" i="14"/>
  <c r="AC33" i="14"/>
  <c r="AI37" i="16"/>
  <c r="AU36" i="16"/>
  <c r="AC36" i="16"/>
  <c r="AT35" i="16"/>
  <c r="AI32" i="16"/>
  <c r="AT31" i="16"/>
  <c r="AI28" i="16"/>
  <c r="AG27" i="16"/>
  <c r="AI24" i="16"/>
  <c r="AG23" i="16"/>
  <c r="AI20" i="16"/>
  <c r="AG19" i="16"/>
  <c r="AI16" i="16"/>
  <c r="AG15" i="16"/>
  <c r="AG11" i="16"/>
  <c r="AU10" i="16"/>
  <c r="AC10" i="16"/>
  <c r="AI35" i="15"/>
  <c r="AT34" i="15"/>
  <c r="AI31" i="15"/>
  <c r="AT30" i="15"/>
  <c r="AI27" i="15"/>
  <c r="AT26" i="15"/>
  <c r="AI23" i="15"/>
  <c r="AT22" i="15"/>
  <c r="AI19" i="15"/>
  <c r="AT18" i="15"/>
  <c r="AI15" i="15"/>
  <c r="AT14" i="15"/>
  <c r="AI11" i="15"/>
  <c r="AU10" i="15"/>
  <c r="AC10" i="15"/>
  <c r="AT38" i="14"/>
  <c r="AI34" i="14"/>
  <c r="AT33" i="14"/>
  <c r="AI30" i="14"/>
  <c r="AT29" i="14"/>
  <c r="AI26" i="14"/>
  <c r="AG25" i="14"/>
  <c r="AI22" i="14"/>
  <c r="AG21" i="14"/>
  <c r="AI18" i="14"/>
  <c r="AG17" i="14"/>
  <c r="AI14" i="14"/>
  <c r="AG13" i="14"/>
  <c r="AU12" i="14"/>
  <c r="AC12" i="14"/>
  <c r="AG9" i="14"/>
  <c r="AU8" i="14"/>
  <c r="AC8" i="14"/>
  <c r="AI37" i="13"/>
  <c r="AI38" i="16"/>
  <c r="AG37" i="16"/>
  <c r="AT36" i="16"/>
  <c r="AI33" i="16"/>
  <c r="AG32" i="16"/>
  <c r="AI29" i="16"/>
  <c r="AG28" i="16"/>
  <c r="AU27" i="16"/>
  <c r="AC27" i="16"/>
  <c r="AG24" i="16"/>
  <c r="AU23" i="16"/>
  <c r="AC23" i="16"/>
  <c r="AG20" i="16"/>
  <c r="AU19" i="16"/>
  <c r="AC19" i="16"/>
  <c r="AG16" i="16"/>
  <c r="AU15" i="16"/>
  <c r="AC15" i="16"/>
  <c r="AU11" i="16"/>
  <c r="AC11" i="16"/>
  <c r="AT10" i="16"/>
  <c r="AI36" i="15"/>
  <c r="AG35" i="15"/>
  <c r="AI32" i="15"/>
  <c r="AG31" i="15"/>
  <c r="AI28" i="15"/>
  <c r="AG27" i="15"/>
  <c r="AI24" i="15"/>
  <c r="AG23" i="15"/>
  <c r="AI20" i="15"/>
  <c r="AG19" i="15"/>
  <c r="AI16" i="15"/>
  <c r="AG15" i="15"/>
  <c r="AI12" i="15"/>
  <c r="AG11" i="15"/>
  <c r="AT10" i="15"/>
  <c r="AI35" i="14"/>
  <c r="AG34" i="14"/>
  <c r="AI31" i="14"/>
  <c r="AG30" i="14"/>
  <c r="AG26" i="14"/>
  <c r="AU25" i="14"/>
  <c r="AC25" i="14"/>
  <c r="AG22" i="14"/>
  <c r="AU21" i="14"/>
  <c r="AC21" i="14"/>
  <c r="AG18" i="14"/>
  <c r="AU17" i="14"/>
  <c r="AC17" i="14"/>
  <c r="AG14" i="14"/>
  <c r="AU13" i="14"/>
  <c r="AC13" i="14"/>
  <c r="AT12" i="14"/>
  <c r="AG38" i="16"/>
  <c r="AU37" i="16"/>
  <c r="AC37" i="16"/>
  <c r="AG33" i="16"/>
  <c r="AU32" i="16"/>
  <c r="AC32" i="16"/>
  <c r="AG29" i="16"/>
  <c r="AU28" i="16"/>
  <c r="AC28" i="16"/>
  <c r="AT27" i="16"/>
  <c r="AU24" i="16"/>
  <c r="AC24" i="16"/>
  <c r="AT23" i="16"/>
  <c r="AU20" i="16"/>
  <c r="AC20" i="16"/>
  <c r="AT19" i="16"/>
  <c r="AU16" i="16"/>
  <c r="AC16" i="16"/>
  <c r="AT15" i="16"/>
  <c r="AI12" i="16"/>
  <c r="AT11" i="16"/>
  <c r="AI8" i="16"/>
  <c r="AG36" i="15"/>
  <c r="AU35" i="15"/>
  <c r="AC35" i="15"/>
  <c r="AG32" i="15"/>
  <c r="AU31" i="15"/>
  <c r="AC31" i="15"/>
  <c r="AG28" i="15"/>
  <c r="AU27" i="15"/>
  <c r="AC27" i="15"/>
  <c r="AG24" i="15"/>
  <c r="AU23" i="15"/>
  <c r="AC23" i="15"/>
  <c r="AG20" i="15"/>
  <c r="AU19" i="15"/>
  <c r="AC19" i="15"/>
  <c r="AG16" i="15"/>
  <c r="AU15" i="15"/>
  <c r="AC15" i="15"/>
  <c r="AG12" i="15"/>
  <c r="AU11" i="15"/>
  <c r="AC11" i="15"/>
  <c r="AI8" i="15"/>
  <c r="AI36" i="14"/>
  <c r="AG35" i="14"/>
  <c r="AU34" i="14"/>
  <c r="AC34" i="14"/>
  <c r="AU38" i="16"/>
  <c r="AC38" i="16"/>
  <c r="AT37" i="16"/>
  <c r="AU33" i="16"/>
  <c r="AC33" i="16"/>
  <c r="AT32" i="16"/>
  <c r="AU29" i="16"/>
  <c r="AC29" i="16"/>
  <c r="AT28" i="16"/>
  <c r="AI25" i="16"/>
  <c r="AT24" i="16"/>
  <c r="AI21" i="16"/>
  <c r="AT20" i="16"/>
  <c r="AI17" i="16"/>
  <c r="AT16" i="16"/>
  <c r="AI13" i="16"/>
  <c r="AG12" i="16"/>
  <c r="AI9" i="16"/>
  <c r="AG8" i="16"/>
  <c r="AU36" i="15"/>
  <c r="AC36" i="15"/>
  <c r="AT35" i="15"/>
  <c r="AU32" i="15"/>
  <c r="AC32" i="15"/>
  <c r="AT31" i="15"/>
  <c r="AU28" i="15"/>
  <c r="AC28" i="15"/>
  <c r="AT27" i="15"/>
  <c r="AU24" i="15"/>
  <c r="AC24" i="15"/>
  <c r="AT23" i="15"/>
  <c r="AU20" i="15"/>
  <c r="AC20" i="15"/>
  <c r="AT38" i="16"/>
  <c r="AI34" i="16"/>
  <c r="AT33" i="16"/>
  <c r="AI30" i="16"/>
  <c r="AT29" i="16"/>
  <c r="AI26" i="16"/>
  <c r="AG25" i="16"/>
  <c r="AI22" i="16"/>
  <c r="AG21" i="16"/>
  <c r="AI18" i="16"/>
  <c r="AG17" i="16"/>
  <c r="AI14" i="16"/>
  <c r="AG13" i="16"/>
  <c r="AU12" i="16"/>
  <c r="AC12" i="16"/>
  <c r="AG9" i="16"/>
  <c r="AU8" i="16"/>
  <c r="AC8" i="16"/>
  <c r="AI37" i="15"/>
  <c r="AT36" i="15"/>
  <c r="AI33" i="15"/>
  <c r="AT32" i="15"/>
  <c r="AI29" i="15"/>
  <c r="AT28" i="15"/>
  <c r="AI25" i="15"/>
  <c r="AT24" i="15"/>
  <c r="AI21" i="15"/>
  <c r="AT20" i="15"/>
  <c r="AI17" i="15"/>
  <c r="AT16" i="15"/>
  <c r="AI13" i="15"/>
  <c r="AT12" i="15"/>
  <c r="AG9" i="15"/>
  <c r="AU8" i="15"/>
  <c r="AC8" i="15"/>
  <c r="AI37" i="14"/>
  <c r="AU36" i="14"/>
  <c r="AC36" i="14"/>
  <c r="AT35" i="14"/>
  <c r="AI32" i="14"/>
  <c r="AT31" i="14"/>
  <c r="AI28" i="14"/>
  <c r="AG27" i="14"/>
  <c r="AI24" i="14"/>
  <c r="AG23" i="14"/>
  <c r="AI20" i="14"/>
  <c r="AG19" i="14"/>
  <c r="AI16" i="14"/>
  <c r="AG15" i="14"/>
  <c r="AG11" i="14"/>
  <c r="AU10" i="14"/>
  <c r="AC10" i="14"/>
  <c r="AC12" i="15"/>
  <c r="AC30" i="14"/>
  <c r="AT25" i="14"/>
  <c r="AI23" i="14"/>
  <c r="AT15" i="14"/>
  <c r="AC14" i="14"/>
  <c r="AI11" i="14"/>
  <c r="AU9" i="14"/>
  <c r="AI36" i="13"/>
  <c r="AG35" i="13"/>
  <c r="AU34" i="13"/>
  <c r="AC34" i="13"/>
  <c r="AG31" i="13"/>
  <c r="AU30" i="13"/>
  <c r="AC30" i="13"/>
  <c r="AU26" i="13"/>
  <c r="AC26" i="13"/>
  <c r="AT25" i="13"/>
  <c r="AU22" i="13"/>
  <c r="AC22" i="13"/>
  <c r="AT21" i="13"/>
  <c r="AU18" i="13"/>
  <c r="AC18" i="13"/>
  <c r="AT17" i="13"/>
  <c r="AU14" i="13"/>
  <c r="AC14" i="13"/>
  <c r="AT13" i="13"/>
  <c r="AI10" i="13"/>
  <c r="AT9" i="13"/>
  <c r="AG38" i="12"/>
  <c r="AU37" i="12"/>
  <c r="AC37" i="12"/>
  <c r="AG33" i="12"/>
  <c r="AU32" i="12"/>
  <c r="AC32" i="12"/>
  <c r="AG29" i="12"/>
  <c r="AU28" i="12"/>
  <c r="AC28" i="12"/>
  <c r="AT27" i="12"/>
  <c r="AU24" i="12"/>
  <c r="AC24" i="12"/>
  <c r="AT23" i="12"/>
  <c r="AU20" i="12"/>
  <c r="AC20" i="12"/>
  <c r="AT19" i="12"/>
  <c r="AU16" i="12"/>
  <c r="AC16" i="12"/>
  <c r="AT15" i="12"/>
  <c r="AI12" i="12"/>
  <c r="AT11" i="12"/>
  <c r="AI8" i="12"/>
  <c r="AI36" i="11"/>
  <c r="AG35" i="11"/>
  <c r="AU34" i="11"/>
  <c r="AC34" i="11"/>
  <c r="AG31" i="11"/>
  <c r="AU30" i="11"/>
  <c r="AC30" i="11"/>
  <c r="AU26" i="11"/>
  <c r="AC26" i="11"/>
  <c r="AT25" i="11"/>
  <c r="AU22" i="11"/>
  <c r="AC22" i="11"/>
  <c r="AT21" i="11"/>
  <c r="AU18" i="11"/>
  <c r="AC18" i="11"/>
  <c r="AT17" i="11"/>
  <c r="AU14" i="11"/>
  <c r="AC14" i="11"/>
  <c r="AT15" i="15"/>
  <c r="AU35" i="14"/>
  <c r="AT28" i="14"/>
  <c r="AT21" i="14"/>
  <c r="AI19" i="14"/>
  <c r="AT9" i="14"/>
  <c r="AG36" i="13"/>
  <c r="AU35" i="13"/>
  <c r="AC35" i="13"/>
  <c r="AT34" i="13"/>
  <c r="AU31" i="13"/>
  <c r="AC31" i="13"/>
  <c r="AT30" i="13"/>
  <c r="AI27" i="13"/>
  <c r="AT26" i="13"/>
  <c r="AI23" i="13"/>
  <c r="AT22" i="13"/>
  <c r="AI19" i="13"/>
  <c r="AT18" i="13"/>
  <c r="AI15" i="13"/>
  <c r="AT14" i="13"/>
  <c r="AI11" i="13"/>
  <c r="AG10" i="13"/>
  <c r="AU38" i="12"/>
  <c r="AC38" i="12"/>
  <c r="AT37" i="12"/>
  <c r="AU33" i="12"/>
  <c r="AC33" i="12"/>
  <c r="AT32" i="12"/>
  <c r="AU29" i="12"/>
  <c r="AC29" i="12"/>
  <c r="AT28" i="12"/>
  <c r="AI25" i="12"/>
  <c r="AT24" i="12"/>
  <c r="AI21" i="12"/>
  <c r="AT20" i="12"/>
  <c r="AI17" i="12"/>
  <c r="AT16" i="12"/>
  <c r="AI13" i="12"/>
  <c r="AG12" i="12"/>
  <c r="AI9" i="12"/>
  <c r="AG8" i="12"/>
  <c r="AG36" i="11"/>
  <c r="AU35" i="11"/>
  <c r="AC35" i="11"/>
  <c r="AT34" i="11"/>
  <c r="AU31" i="11"/>
  <c r="AC31" i="11"/>
  <c r="AT30" i="11"/>
  <c r="AI27" i="11"/>
  <c r="AT26" i="11"/>
  <c r="AI23" i="11"/>
  <c r="AT22" i="11"/>
  <c r="AI19" i="11"/>
  <c r="AT18" i="11"/>
  <c r="AI15" i="11"/>
  <c r="AT14" i="11"/>
  <c r="AU30" i="14"/>
  <c r="AC29" i="14"/>
  <c r="AC26" i="14"/>
  <c r="AT24" i="14"/>
  <c r="AT17" i="14"/>
  <c r="AC16" i="14"/>
  <c r="AU14" i="14"/>
  <c r="AI10" i="14"/>
  <c r="AI8" i="14"/>
  <c r="AU36" i="13"/>
  <c r="AC36" i="13"/>
  <c r="AT35" i="13"/>
  <c r="AI32" i="13"/>
  <c r="AT31" i="13"/>
  <c r="AI28" i="13"/>
  <c r="AG27" i="13"/>
  <c r="AI24" i="13"/>
  <c r="AG23" i="13"/>
  <c r="AI20" i="13"/>
  <c r="AG19" i="13"/>
  <c r="AI16" i="13"/>
  <c r="AG15" i="13"/>
  <c r="AG11" i="13"/>
  <c r="AU10" i="13"/>
  <c r="AC10" i="13"/>
  <c r="AT38" i="12"/>
  <c r="AI34" i="12"/>
  <c r="AT33" i="12"/>
  <c r="AI30" i="12"/>
  <c r="AT29" i="12"/>
  <c r="AI26" i="12"/>
  <c r="AG25" i="12"/>
  <c r="AI22" i="12"/>
  <c r="AG21" i="12"/>
  <c r="AI18" i="12"/>
  <c r="AG17" i="12"/>
  <c r="AI14" i="12"/>
  <c r="AG13" i="12"/>
  <c r="AU12" i="12"/>
  <c r="AC12" i="12"/>
  <c r="AG9" i="12"/>
  <c r="AU8" i="12"/>
  <c r="AC8" i="12"/>
  <c r="AI37" i="11"/>
  <c r="AU36" i="11"/>
  <c r="AC36" i="11"/>
  <c r="AT35" i="11"/>
  <c r="AI32" i="11"/>
  <c r="AT31" i="11"/>
  <c r="AI28" i="11"/>
  <c r="AG27" i="11"/>
  <c r="AI24" i="11"/>
  <c r="AG23" i="11"/>
  <c r="AI20" i="11"/>
  <c r="AG19" i="11"/>
  <c r="AI16" i="11"/>
  <c r="AG15" i="11"/>
  <c r="AU12" i="15"/>
  <c r="AI9" i="15"/>
  <c r="AG36" i="14"/>
  <c r="AT34" i="14"/>
  <c r="AT30" i="14"/>
  <c r="AC22" i="14"/>
  <c r="AT20" i="14"/>
  <c r="AT14" i="14"/>
  <c r="AI13" i="14"/>
  <c r="AT11" i="14"/>
  <c r="AG10" i="14"/>
  <c r="AG8" i="14"/>
  <c r="AG37" i="13"/>
  <c r="AT36" i="13"/>
  <c r="AI33" i="13"/>
  <c r="AG32" i="13"/>
  <c r="AI29" i="13"/>
  <c r="AG28" i="13"/>
  <c r="AU27" i="13"/>
  <c r="AC27" i="13"/>
  <c r="AG24" i="13"/>
  <c r="AU23" i="13"/>
  <c r="AC23" i="13"/>
  <c r="AG20" i="13"/>
  <c r="AU19" i="13"/>
  <c r="AC19" i="13"/>
  <c r="AG16" i="13"/>
  <c r="AU15" i="13"/>
  <c r="AC15" i="13"/>
  <c r="AU11" i="13"/>
  <c r="AC11" i="13"/>
  <c r="AT10" i="13"/>
  <c r="AI35" i="12"/>
  <c r="AG34" i="12"/>
  <c r="AI31" i="12"/>
  <c r="AG30" i="12"/>
  <c r="AG26" i="12"/>
  <c r="AU25" i="12"/>
  <c r="AC25" i="12"/>
  <c r="AG22" i="12"/>
  <c r="AU21" i="12"/>
  <c r="AC21" i="12"/>
  <c r="AG18" i="12"/>
  <c r="AU17" i="12"/>
  <c r="AC17" i="12"/>
  <c r="AG14" i="12"/>
  <c r="AU13" i="12"/>
  <c r="AC13" i="12"/>
  <c r="AT12" i="12"/>
  <c r="AU9" i="12"/>
  <c r="AC9" i="12"/>
  <c r="AT8" i="12"/>
  <c r="AI38" i="11"/>
  <c r="AG37" i="11"/>
  <c r="AT36" i="11"/>
  <c r="AI33" i="11"/>
  <c r="AG32" i="11"/>
  <c r="AI29" i="11"/>
  <c r="AG28" i="11"/>
  <c r="AU27" i="11"/>
  <c r="AC27" i="11"/>
  <c r="AG24" i="11"/>
  <c r="AU23" i="11"/>
  <c r="AC23" i="11"/>
  <c r="AG20" i="11"/>
  <c r="AU19" i="11"/>
  <c r="AC19" i="11"/>
  <c r="AG16" i="11"/>
  <c r="AU15" i="11"/>
  <c r="AC15" i="11"/>
  <c r="AC16" i="15"/>
  <c r="AG8" i="15"/>
  <c r="AG31" i="14"/>
  <c r="AU26" i="14"/>
  <c r="AC18" i="14"/>
  <c r="AU16" i="14"/>
  <c r="AC37" i="13"/>
  <c r="AG33" i="13"/>
  <c r="AU32" i="13"/>
  <c r="AC32" i="13"/>
  <c r="AG29" i="13"/>
  <c r="AU28" i="13"/>
  <c r="AC28" i="13"/>
  <c r="AT27" i="13"/>
  <c r="AU24" i="13"/>
  <c r="AC24" i="13"/>
  <c r="AT23" i="13"/>
  <c r="AU20" i="13"/>
  <c r="AC20" i="13"/>
  <c r="AT19" i="13"/>
  <c r="AU16" i="13"/>
  <c r="AC16" i="13"/>
  <c r="AT15" i="13"/>
  <c r="AI12" i="13"/>
  <c r="AT11" i="13"/>
  <c r="AI8" i="13"/>
  <c r="AI36" i="12"/>
  <c r="AG35" i="12"/>
  <c r="AU34" i="12"/>
  <c r="AC34" i="12"/>
  <c r="AG31" i="12"/>
  <c r="AU30" i="12"/>
  <c r="AC30" i="12"/>
  <c r="AU26" i="12"/>
  <c r="AC26" i="12"/>
  <c r="AT25" i="12"/>
  <c r="AU22" i="12"/>
  <c r="AC22" i="12"/>
  <c r="AT21" i="12"/>
  <c r="AU18" i="12"/>
  <c r="AC18" i="12"/>
  <c r="AT17" i="12"/>
  <c r="AU14" i="12"/>
  <c r="AC14" i="12"/>
  <c r="AT13" i="12"/>
  <c r="AI10" i="12"/>
  <c r="AT9" i="12"/>
  <c r="AG38" i="11"/>
  <c r="AU37" i="11"/>
  <c r="AC37" i="11"/>
  <c r="AG33" i="11"/>
  <c r="AU32" i="11"/>
  <c r="AC32" i="11"/>
  <c r="AG29" i="11"/>
  <c r="AU28" i="11"/>
  <c r="AC28" i="11"/>
  <c r="AT27" i="11"/>
  <c r="AU24" i="11"/>
  <c r="AC24" i="11"/>
  <c r="AT23" i="11"/>
  <c r="AU20" i="11"/>
  <c r="AC20" i="11"/>
  <c r="AT19" i="11"/>
  <c r="AU16" i="11"/>
  <c r="AC16" i="11"/>
  <c r="AT15" i="11"/>
  <c r="AT19" i="15"/>
  <c r="AT11" i="15"/>
  <c r="AC31" i="14"/>
  <c r="AU29" i="14"/>
  <c r="AT26" i="14"/>
  <c r="AI25" i="14"/>
  <c r="AU22" i="14"/>
  <c r="AT16" i="14"/>
  <c r="AI15" i="14"/>
  <c r="AI12" i="14"/>
  <c r="AT8" i="14"/>
  <c r="AU37" i="13"/>
  <c r="AU33" i="13"/>
  <c r="AC33" i="13"/>
  <c r="AT32" i="13"/>
  <c r="AU29" i="13"/>
  <c r="AC29" i="13"/>
  <c r="AT28" i="13"/>
  <c r="AI25" i="13"/>
  <c r="AT24" i="13"/>
  <c r="AI21" i="13"/>
  <c r="AT20" i="13"/>
  <c r="AI17" i="13"/>
  <c r="AT16" i="13"/>
  <c r="AI13" i="13"/>
  <c r="AG12" i="13"/>
  <c r="AI9" i="13"/>
  <c r="AG8" i="13"/>
  <c r="AG36" i="12"/>
  <c r="AU35" i="12"/>
  <c r="AC35" i="12"/>
  <c r="AT34" i="12"/>
  <c r="AU31" i="12"/>
  <c r="AC31" i="12"/>
  <c r="AT30" i="12"/>
  <c r="AI27" i="12"/>
  <c r="AT26" i="12"/>
  <c r="AI23" i="12"/>
  <c r="AT22" i="12"/>
  <c r="AI19" i="12"/>
  <c r="AT18" i="12"/>
  <c r="AI15" i="12"/>
  <c r="AT14" i="12"/>
  <c r="AI11" i="12"/>
  <c r="AG10" i="12"/>
  <c r="AU38" i="11"/>
  <c r="AC38" i="11"/>
  <c r="AT37" i="11"/>
  <c r="AU33" i="11"/>
  <c r="AC33" i="11"/>
  <c r="AT32" i="11"/>
  <c r="AU29" i="11"/>
  <c r="AC29" i="11"/>
  <c r="AT28" i="11"/>
  <c r="AI25" i="11"/>
  <c r="AT24" i="11"/>
  <c r="AI21" i="11"/>
  <c r="AT20" i="11"/>
  <c r="AI17" i="11"/>
  <c r="AT16" i="11"/>
  <c r="AU16" i="15"/>
  <c r="AU31" i="14"/>
  <c r="AI27" i="14"/>
  <c r="AT18" i="14"/>
  <c r="AI17" i="14"/>
  <c r="AC9" i="14"/>
  <c r="AI35" i="13"/>
  <c r="AG34" i="13"/>
  <c r="AI31" i="13"/>
  <c r="AG30" i="13"/>
  <c r="AG26" i="13"/>
  <c r="AU25" i="13"/>
  <c r="AC25" i="13"/>
  <c r="AG22" i="13"/>
  <c r="AU21" i="13"/>
  <c r="AC21" i="13"/>
  <c r="AG18" i="13"/>
  <c r="AU17" i="13"/>
  <c r="AC17" i="13"/>
  <c r="AG14" i="13"/>
  <c r="AU13" i="13"/>
  <c r="AC13" i="13"/>
  <c r="AT12" i="13"/>
  <c r="AU9" i="13"/>
  <c r="AC9" i="13"/>
  <c r="AT8" i="13"/>
  <c r="AI38" i="12"/>
  <c r="AG37" i="12"/>
  <c r="AT36" i="12"/>
  <c r="AI33" i="12"/>
  <c r="AG32" i="12"/>
  <c r="AI29" i="12"/>
  <c r="AG28" i="12"/>
  <c r="AU27" i="12"/>
  <c r="AC27" i="12"/>
  <c r="AG24" i="12"/>
  <c r="AU23" i="12"/>
  <c r="AC23" i="12"/>
  <c r="AG20" i="12"/>
  <c r="AU19" i="12"/>
  <c r="AC19" i="12"/>
  <c r="AG16" i="12"/>
  <c r="AU15" i="12"/>
  <c r="AC15" i="12"/>
  <c r="AU11" i="12"/>
  <c r="AC11" i="12"/>
  <c r="AT10" i="12"/>
  <c r="AI35" i="11"/>
  <c r="AG34" i="11"/>
  <c r="AI31" i="11"/>
  <c r="AG30" i="11"/>
  <c r="AG26" i="11"/>
  <c r="AU25" i="11"/>
  <c r="AC25" i="11"/>
  <c r="AG22" i="11"/>
  <c r="AU21" i="11"/>
  <c r="AC21" i="11"/>
  <c r="AG18" i="11"/>
  <c r="AU17" i="11"/>
  <c r="AC17" i="11"/>
  <c r="AG14" i="11"/>
  <c r="AG13" i="13"/>
  <c r="AC8" i="13"/>
  <c r="AG11" i="12"/>
  <c r="AI30" i="11"/>
  <c r="AI13" i="11"/>
  <c r="AG12" i="11"/>
  <c r="AI9" i="11"/>
  <c r="AG8" i="11"/>
  <c r="AG36" i="10"/>
  <c r="AU35" i="10"/>
  <c r="AC35" i="10"/>
  <c r="AT34" i="10"/>
  <c r="AU31" i="10"/>
  <c r="AC31" i="10"/>
  <c r="AT30" i="10"/>
  <c r="AI27" i="10"/>
  <c r="AT26" i="10"/>
  <c r="AI23" i="10"/>
  <c r="AT22" i="10"/>
  <c r="AI19" i="10"/>
  <c r="AT18" i="10"/>
  <c r="AI15" i="10"/>
  <c r="AT14" i="10"/>
  <c r="AI11" i="10"/>
  <c r="AG10" i="10"/>
  <c r="AU38" i="9"/>
  <c r="AC38" i="9"/>
  <c r="AT37" i="9"/>
  <c r="AU33" i="9"/>
  <c r="AC33" i="9"/>
  <c r="AT32" i="9"/>
  <c r="AI29" i="9"/>
  <c r="AG28" i="9"/>
  <c r="AU27" i="9"/>
  <c r="AC27" i="9"/>
  <c r="AG24" i="9"/>
  <c r="AU23" i="9"/>
  <c r="AC23" i="9"/>
  <c r="AG20" i="9"/>
  <c r="AU17" i="9"/>
  <c r="AC17" i="9"/>
  <c r="AI15" i="9"/>
  <c r="AT14" i="9"/>
  <c r="AG12" i="9"/>
  <c r="AI9" i="9"/>
  <c r="AG8" i="9"/>
  <c r="AG36" i="8"/>
  <c r="AU35" i="8"/>
  <c r="AC35" i="8"/>
  <c r="AT34" i="8"/>
  <c r="AU31" i="8"/>
  <c r="AC31" i="8"/>
  <c r="AT30" i="8"/>
  <c r="AI27" i="8"/>
  <c r="AT26" i="8"/>
  <c r="AI23" i="8"/>
  <c r="AT22" i="8"/>
  <c r="AI19" i="8"/>
  <c r="AT18" i="8"/>
  <c r="AI15" i="8"/>
  <c r="AT14" i="8"/>
  <c r="AT32" i="14"/>
  <c r="AI22" i="13"/>
  <c r="AC36" i="12"/>
  <c r="AI20" i="12"/>
  <c r="AT33" i="11"/>
  <c r="AI18" i="11"/>
  <c r="AG13" i="11"/>
  <c r="AU12" i="11"/>
  <c r="AC12" i="11"/>
  <c r="AG9" i="11"/>
  <c r="AU8" i="11"/>
  <c r="AC8" i="11"/>
  <c r="AI37" i="10"/>
  <c r="AU36" i="10"/>
  <c r="AC36" i="10"/>
  <c r="AT35" i="10"/>
  <c r="AI32" i="10"/>
  <c r="AT31" i="10"/>
  <c r="AI28" i="10"/>
  <c r="AG27" i="10"/>
  <c r="AI24" i="10"/>
  <c r="AG23" i="10"/>
  <c r="AI20" i="10"/>
  <c r="AG19" i="10"/>
  <c r="AI16" i="10"/>
  <c r="AG15" i="10"/>
  <c r="AG11" i="10"/>
  <c r="AU10" i="10"/>
  <c r="AC10" i="10"/>
  <c r="AT38" i="9"/>
  <c r="AI34" i="9"/>
  <c r="AT33" i="9"/>
  <c r="AG29" i="9"/>
  <c r="AU28" i="9"/>
  <c r="AC28" i="9"/>
  <c r="AT27" i="9"/>
  <c r="AU24" i="9"/>
  <c r="AC24" i="9"/>
  <c r="AT23" i="9"/>
  <c r="AU20" i="9"/>
  <c r="AC20" i="9"/>
  <c r="AI18" i="9"/>
  <c r="AT17" i="9"/>
  <c r="AG15" i="9"/>
  <c r="AU12" i="9"/>
  <c r="AC12" i="9"/>
  <c r="AG9" i="9"/>
  <c r="AU8" i="9"/>
  <c r="AC8" i="9"/>
  <c r="AI37" i="8"/>
  <c r="AU36" i="8"/>
  <c r="AC36" i="8"/>
  <c r="AT35" i="8"/>
  <c r="AI32" i="8"/>
  <c r="AT31" i="8"/>
  <c r="AI28" i="8"/>
  <c r="AG27" i="8"/>
  <c r="AI24" i="8"/>
  <c r="AG23" i="8"/>
  <c r="AI20" i="8"/>
  <c r="AG19" i="8"/>
  <c r="AI16" i="8"/>
  <c r="AG15" i="8"/>
  <c r="AU18" i="14"/>
  <c r="AT33" i="13"/>
  <c r="AI30" i="13"/>
  <c r="AG21" i="13"/>
  <c r="AC12" i="13"/>
  <c r="AI28" i="12"/>
  <c r="AG19" i="12"/>
  <c r="AC10" i="12"/>
  <c r="AG17" i="11"/>
  <c r="AU13" i="11"/>
  <c r="AC13" i="11"/>
  <c r="AT12" i="11"/>
  <c r="AU9" i="11"/>
  <c r="AC9" i="11"/>
  <c r="AT8" i="11"/>
  <c r="AG37" i="10"/>
  <c r="AT36" i="10"/>
  <c r="AI33" i="10"/>
  <c r="AG32" i="10"/>
  <c r="AI29" i="10"/>
  <c r="AG28" i="10"/>
  <c r="AU27" i="10"/>
  <c r="AC27" i="10"/>
  <c r="AG24" i="10"/>
  <c r="AU23" i="10"/>
  <c r="AC23" i="10"/>
  <c r="AG20" i="10"/>
  <c r="AU19" i="10"/>
  <c r="AC19" i="10"/>
  <c r="AG16" i="10"/>
  <c r="AU15" i="10"/>
  <c r="AC15" i="10"/>
  <c r="AU11" i="10"/>
  <c r="AC11" i="10"/>
  <c r="AT10" i="10"/>
  <c r="AI35" i="9"/>
  <c r="AG34" i="9"/>
  <c r="AI30" i="9"/>
  <c r="AU29" i="9"/>
  <c r="AC29" i="9"/>
  <c r="AT28" i="9"/>
  <c r="AI25" i="9"/>
  <c r="AT24" i="9"/>
  <c r="AI21" i="9"/>
  <c r="AT20" i="9"/>
  <c r="AG18" i="9"/>
  <c r="AU15" i="9"/>
  <c r="AC15" i="9"/>
  <c r="AI13" i="9"/>
  <c r="AT12" i="9"/>
  <c r="AU9" i="9"/>
  <c r="AC9" i="9"/>
  <c r="AT8" i="9"/>
  <c r="AG37" i="8"/>
  <c r="AT36" i="8"/>
  <c r="AI33" i="8"/>
  <c r="AG32" i="8"/>
  <c r="AI29" i="8"/>
  <c r="AG28" i="8"/>
  <c r="AU27" i="8"/>
  <c r="AC27" i="8"/>
  <c r="AG24" i="8"/>
  <c r="AU23" i="8"/>
  <c r="AC23" i="8"/>
  <c r="AG20" i="8"/>
  <c r="AU19" i="8"/>
  <c r="AC19" i="8"/>
  <c r="AG16" i="8"/>
  <c r="AU15" i="8"/>
  <c r="AC15" i="8"/>
  <c r="AC35" i="14"/>
  <c r="AG12" i="14"/>
  <c r="AU8" i="13"/>
  <c r="AT31" i="12"/>
  <c r="AG27" i="12"/>
  <c r="AI16" i="12"/>
  <c r="AI26" i="11"/>
  <c r="AT13" i="11"/>
  <c r="AI10" i="11"/>
  <c r="AT9" i="11"/>
  <c r="AU37" i="10"/>
  <c r="AC37" i="10"/>
  <c r="AG33" i="10"/>
  <c r="AU32" i="10"/>
  <c r="AC32" i="10"/>
  <c r="AG29" i="10"/>
  <c r="AU28" i="10"/>
  <c r="AC28" i="10"/>
  <c r="AT27" i="10"/>
  <c r="AU24" i="10"/>
  <c r="AC24" i="10"/>
  <c r="AT23" i="10"/>
  <c r="AU20" i="10"/>
  <c r="AC20" i="10"/>
  <c r="AT19" i="10"/>
  <c r="AU16" i="10"/>
  <c r="AC16" i="10"/>
  <c r="AT15" i="10"/>
  <c r="AI12" i="10"/>
  <c r="AT11" i="10"/>
  <c r="AI8" i="10"/>
  <c r="AI36" i="9"/>
  <c r="AG35" i="9"/>
  <c r="AU34" i="9"/>
  <c r="AC34" i="9"/>
  <c r="AI31" i="9"/>
  <c r="AG30" i="9"/>
  <c r="AT29" i="9"/>
  <c r="AI26" i="9"/>
  <c r="AG25" i="9"/>
  <c r="AI22" i="9"/>
  <c r="AG21" i="9"/>
  <c r="AU18" i="9"/>
  <c r="AC18" i="9"/>
  <c r="AI16" i="9"/>
  <c r="AT15" i="9"/>
  <c r="AG13" i="9"/>
  <c r="AI10" i="9"/>
  <c r="AT9" i="9"/>
  <c r="AU37" i="8"/>
  <c r="AC37" i="8"/>
  <c r="AG33" i="8"/>
  <c r="AU32" i="8"/>
  <c r="AC32" i="8"/>
  <c r="AG29" i="8"/>
  <c r="AU28" i="8"/>
  <c r="AC28" i="8"/>
  <c r="AT27" i="8"/>
  <c r="AU24" i="8"/>
  <c r="AC24" i="8"/>
  <c r="AT23" i="8"/>
  <c r="AU20" i="8"/>
  <c r="AC20" i="8"/>
  <c r="AT19" i="8"/>
  <c r="AU16" i="8"/>
  <c r="AC16" i="8"/>
  <c r="AT15" i="8"/>
  <c r="AI21" i="14"/>
  <c r="AI18" i="13"/>
  <c r="AU36" i="12"/>
  <c r="AG15" i="12"/>
  <c r="AI34" i="11"/>
  <c r="AG25" i="11"/>
  <c r="AI14" i="11"/>
  <c r="AI11" i="11"/>
  <c r="AG10" i="11"/>
  <c r="AT37" i="10"/>
  <c r="AU33" i="10"/>
  <c r="AC33" i="10"/>
  <c r="AT32" i="10"/>
  <c r="AU29" i="10"/>
  <c r="AC29" i="10"/>
  <c r="AT28" i="10"/>
  <c r="AI25" i="10"/>
  <c r="AT24" i="10"/>
  <c r="AI21" i="10"/>
  <c r="AT20" i="10"/>
  <c r="AI17" i="10"/>
  <c r="AT16" i="10"/>
  <c r="AI13" i="10"/>
  <c r="AG12" i="10"/>
  <c r="AI9" i="10"/>
  <c r="AG8" i="10"/>
  <c r="AG36" i="9"/>
  <c r="AU35" i="9"/>
  <c r="AC35" i="9"/>
  <c r="AT34" i="9"/>
  <c r="AG31" i="9"/>
  <c r="AU30" i="9"/>
  <c r="AC30" i="9"/>
  <c r="AG26" i="9"/>
  <c r="AU25" i="9"/>
  <c r="AC25" i="9"/>
  <c r="AG22" i="9"/>
  <c r="AU21" i="9"/>
  <c r="AC21" i="9"/>
  <c r="AI19" i="9"/>
  <c r="AT18" i="9"/>
  <c r="AG16" i="9"/>
  <c r="AU13" i="9"/>
  <c r="AC13" i="9"/>
  <c r="AI11" i="9"/>
  <c r="AG10" i="9"/>
  <c r="AT37" i="8"/>
  <c r="AU33" i="8"/>
  <c r="AC33" i="8"/>
  <c r="AT32" i="8"/>
  <c r="AU29" i="8"/>
  <c r="AC29" i="8"/>
  <c r="AT28" i="8"/>
  <c r="AI25" i="8"/>
  <c r="AT24" i="8"/>
  <c r="AI21" i="8"/>
  <c r="AT20" i="8"/>
  <c r="AI17" i="8"/>
  <c r="AT16" i="8"/>
  <c r="AI9" i="14"/>
  <c r="AI34" i="13"/>
  <c r="AG17" i="13"/>
  <c r="AU12" i="13"/>
  <c r="AG9" i="13"/>
  <c r="AU10" i="12"/>
  <c r="AT38" i="11"/>
  <c r="AT29" i="11"/>
  <c r="AG11" i="11"/>
  <c r="AU10" i="11"/>
  <c r="AC10" i="11"/>
  <c r="AI34" i="10"/>
  <c r="AT33" i="10"/>
  <c r="AI30" i="10"/>
  <c r="AT29" i="10"/>
  <c r="AI26" i="10"/>
  <c r="AG25" i="10"/>
  <c r="AI22" i="10"/>
  <c r="AG21" i="10"/>
  <c r="AI18" i="10"/>
  <c r="AG17" i="10"/>
  <c r="AI14" i="10"/>
  <c r="AG13" i="10"/>
  <c r="AU12" i="10"/>
  <c r="AC12" i="10"/>
  <c r="AG9" i="10"/>
  <c r="AU8" i="10"/>
  <c r="AC8" i="10"/>
  <c r="AI37" i="9"/>
  <c r="AU36" i="9"/>
  <c r="AC36" i="9"/>
  <c r="AT35" i="9"/>
  <c r="AI32" i="9"/>
  <c r="AU31" i="9"/>
  <c r="AC31" i="9"/>
  <c r="AT30" i="9"/>
  <c r="AU26" i="9"/>
  <c r="AC26" i="9"/>
  <c r="AT25" i="9"/>
  <c r="AU22" i="9"/>
  <c r="AC22" i="9"/>
  <c r="AT21" i="9"/>
  <c r="AG19" i="9"/>
  <c r="AU16" i="9"/>
  <c r="AC16" i="9"/>
  <c r="AI14" i="9"/>
  <c r="AT13" i="9"/>
  <c r="AG11" i="9"/>
  <c r="AU10" i="9"/>
  <c r="AC10" i="9"/>
  <c r="AI34" i="8"/>
  <c r="AT33" i="8"/>
  <c r="AI30" i="8"/>
  <c r="AT29" i="8"/>
  <c r="AI26" i="8"/>
  <c r="AG25" i="8"/>
  <c r="AT37" i="13"/>
  <c r="AT29" i="13"/>
  <c r="AG25" i="13"/>
  <c r="AT35" i="12"/>
  <c r="AG23" i="12"/>
  <c r="AG21" i="11"/>
  <c r="AI12" i="11"/>
  <c r="AT11" i="11"/>
  <c r="AI8" i="11"/>
  <c r="AI36" i="10"/>
  <c r="AG35" i="10"/>
  <c r="AU34" i="10"/>
  <c r="AC34" i="10"/>
  <c r="AG31" i="10"/>
  <c r="AU30" i="10"/>
  <c r="AC30" i="10"/>
  <c r="AU26" i="10"/>
  <c r="AC26" i="10"/>
  <c r="AT25" i="10"/>
  <c r="AU22" i="10"/>
  <c r="AC22" i="10"/>
  <c r="AT21" i="10"/>
  <c r="AU18" i="10"/>
  <c r="AC18" i="10"/>
  <c r="AT17" i="10"/>
  <c r="AU14" i="10"/>
  <c r="AC14" i="10"/>
  <c r="AT13" i="10"/>
  <c r="AI10" i="10"/>
  <c r="AT9" i="10"/>
  <c r="AG38" i="9"/>
  <c r="AU37" i="9"/>
  <c r="AC37" i="9"/>
  <c r="AG33" i="9"/>
  <c r="AU32" i="9"/>
  <c r="AC32" i="9"/>
  <c r="AI28" i="9"/>
  <c r="AG27" i="9"/>
  <c r="AI24" i="9"/>
  <c r="AG23" i="9"/>
  <c r="AI20" i="9"/>
  <c r="AT19" i="9"/>
  <c r="AG17" i="9"/>
  <c r="AU14" i="9"/>
  <c r="AC14" i="9"/>
  <c r="AI12" i="9"/>
  <c r="AT11" i="9"/>
  <c r="AI8" i="9"/>
  <c r="AI36" i="8"/>
  <c r="AG35" i="8"/>
  <c r="AU34" i="8"/>
  <c r="AC34" i="8"/>
  <c r="AG31" i="8"/>
  <c r="AU30" i="8"/>
  <c r="AC30" i="8"/>
  <c r="AU26" i="8"/>
  <c r="AC26" i="8"/>
  <c r="AT25" i="8"/>
  <c r="AU22" i="8"/>
  <c r="AC22" i="8"/>
  <c r="AT21" i="8"/>
  <c r="AU18" i="8"/>
  <c r="AC18" i="8"/>
  <c r="AT17" i="8"/>
  <c r="AU14" i="8"/>
  <c r="AI37" i="12"/>
  <c r="AC11" i="11"/>
  <c r="AI35" i="10"/>
  <c r="AC13" i="10"/>
  <c r="AU9" i="10"/>
  <c r="AI33" i="9"/>
  <c r="AU25" i="8"/>
  <c r="AI22" i="8"/>
  <c r="AG18" i="8"/>
  <c r="AC14" i="8"/>
  <c r="AI11" i="8"/>
  <c r="AG10" i="8"/>
  <c r="AU38" i="7"/>
  <c r="AC38" i="7"/>
  <c r="AT37" i="7"/>
  <c r="AU33" i="7"/>
  <c r="AC33" i="7"/>
  <c r="AT32" i="7"/>
  <c r="AU29" i="7"/>
  <c r="AC29" i="7"/>
  <c r="AT28" i="7"/>
  <c r="AI25" i="7"/>
  <c r="AT24" i="7"/>
  <c r="AI21" i="7"/>
  <c r="AT20" i="7"/>
  <c r="AI17" i="7"/>
  <c r="AT16" i="7"/>
  <c r="AG13" i="7"/>
  <c r="AU12" i="7"/>
  <c r="AC12" i="7"/>
  <c r="AU9" i="7"/>
  <c r="AC9" i="7"/>
  <c r="AU21" i="8"/>
  <c r="AI33" i="7"/>
  <c r="AC27" i="7"/>
  <c r="AU15" i="7"/>
  <c r="AU8" i="7"/>
  <c r="AG34" i="10"/>
  <c r="AC25" i="10"/>
  <c r="AU21" i="10"/>
  <c r="AG18" i="10"/>
  <c r="AG32" i="9"/>
  <c r="AU19" i="9"/>
  <c r="AG14" i="9"/>
  <c r="AT10" i="9"/>
  <c r="AG22" i="8"/>
  <c r="AG11" i="8"/>
  <c r="AU10" i="8"/>
  <c r="AC10" i="8"/>
  <c r="AT38" i="7"/>
  <c r="AI34" i="7"/>
  <c r="AT33" i="7"/>
  <c r="AI30" i="7"/>
  <c r="AT29" i="7"/>
  <c r="AI26" i="7"/>
  <c r="AG25" i="7"/>
  <c r="AI22" i="7"/>
  <c r="AG21" i="7"/>
  <c r="AI18" i="7"/>
  <c r="AG17" i="7"/>
  <c r="AI14" i="7"/>
  <c r="AU13" i="7"/>
  <c r="AC13" i="7"/>
  <c r="AT12" i="7"/>
  <c r="AI10" i="7"/>
  <c r="AT9" i="7"/>
  <c r="AU14" i="7"/>
  <c r="AI15" i="7"/>
  <c r="AG8" i="7"/>
  <c r="AT36" i="7"/>
  <c r="AU23" i="7"/>
  <c r="AG20" i="7"/>
  <c r="AT13" i="14"/>
  <c r="AI24" i="12"/>
  <c r="AI23" i="9"/>
  <c r="AG17" i="8"/>
  <c r="AU11" i="8"/>
  <c r="AC11" i="8"/>
  <c r="AT10" i="8"/>
  <c r="AI35" i="7"/>
  <c r="AG34" i="7"/>
  <c r="AI31" i="7"/>
  <c r="AG30" i="7"/>
  <c r="AG26" i="7"/>
  <c r="AU25" i="7"/>
  <c r="AC25" i="7"/>
  <c r="AG22" i="7"/>
  <c r="AU21" i="7"/>
  <c r="AC21" i="7"/>
  <c r="AG18" i="7"/>
  <c r="AU17" i="7"/>
  <c r="AC17" i="7"/>
  <c r="AG14" i="7"/>
  <c r="AT13" i="7"/>
  <c r="AG10" i="7"/>
  <c r="AU10" i="7"/>
  <c r="AC10" i="7"/>
  <c r="AI23" i="7"/>
  <c r="AI19" i="7"/>
  <c r="AT14" i="7"/>
  <c r="AI8" i="7"/>
  <c r="AT12" i="8"/>
  <c r="AT8" i="8"/>
  <c r="AG37" i="7"/>
  <c r="AG28" i="7"/>
  <c r="AI9" i="7"/>
  <c r="AI26" i="13"/>
  <c r="AI22" i="11"/>
  <c r="AU11" i="11"/>
  <c r="AI31" i="10"/>
  <c r="AC17" i="10"/>
  <c r="AU13" i="10"/>
  <c r="AT36" i="9"/>
  <c r="AT26" i="9"/>
  <c r="AC11" i="9"/>
  <c r="AI35" i="8"/>
  <c r="AG26" i="8"/>
  <c r="AG21" i="8"/>
  <c r="AC17" i="8"/>
  <c r="AI12" i="8"/>
  <c r="AT11" i="8"/>
  <c r="AI8" i="8"/>
  <c r="AI36" i="7"/>
  <c r="AG35" i="7"/>
  <c r="AU34" i="7"/>
  <c r="AC34" i="7"/>
  <c r="AG31" i="7"/>
  <c r="AU30" i="7"/>
  <c r="AC30" i="7"/>
  <c r="AU26" i="7"/>
  <c r="AC26" i="7"/>
  <c r="AT25" i="7"/>
  <c r="AU22" i="7"/>
  <c r="AC22" i="7"/>
  <c r="AT21" i="7"/>
  <c r="AU18" i="7"/>
  <c r="AC18" i="7"/>
  <c r="AT17" i="7"/>
  <c r="AC14" i="7"/>
  <c r="AI11" i="7"/>
  <c r="AT22" i="7"/>
  <c r="AT18" i="7"/>
  <c r="AT10" i="7"/>
  <c r="AU11" i="7"/>
  <c r="AU13" i="8"/>
  <c r="AC19" i="7"/>
  <c r="AC15" i="7"/>
  <c r="AT11" i="7"/>
  <c r="AT22" i="14"/>
  <c r="AG30" i="10"/>
  <c r="AU25" i="10"/>
  <c r="AG22" i="10"/>
  <c r="AT8" i="10"/>
  <c r="AT16" i="9"/>
  <c r="AG34" i="8"/>
  <c r="AC21" i="8"/>
  <c r="AI13" i="8"/>
  <c r="AG12" i="8"/>
  <c r="AI9" i="8"/>
  <c r="AG8" i="8"/>
  <c r="AG36" i="7"/>
  <c r="AU35" i="7"/>
  <c r="AC35" i="7"/>
  <c r="AT34" i="7"/>
  <c r="AU31" i="7"/>
  <c r="AC31" i="7"/>
  <c r="AT30" i="7"/>
  <c r="AI27" i="7"/>
  <c r="AT26" i="7"/>
  <c r="AG11" i="7"/>
  <c r="AC11" i="7"/>
  <c r="AU9" i="8"/>
  <c r="AI38" i="7"/>
  <c r="AG16" i="7"/>
  <c r="AI12" i="7"/>
  <c r="AC8" i="7"/>
  <c r="AI32" i="12"/>
  <c r="AT10" i="11"/>
  <c r="AC9" i="10"/>
  <c r="AI38" i="9"/>
  <c r="AC25" i="8"/>
  <c r="AU17" i="8"/>
  <c r="AG13" i="8"/>
  <c r="AU12" i="8"/>
  <c r="AC12" i="8"/>
  <c r="AG9" i="8"/>
  <c r="AU8" i="8"/>
  <c r="AC8" i="8"/>
  <c r="AI37" i="7"/>
  <c r="AU36" i="7"/>
  <c r="AC36" i="7"/>
  <c r="AT35" i="7"/>
  <c r="AI32" i="7"/>
  <c r="AT31" i="7"/>
  <c r="AI28" i="7"/>
  <c r="AG27" i="7"/>
  <c r="AI24" i="7"/>
  <c r="AG23" i="7"/>
  <c r="AI20" i="7"/>
  <c r="AG19" i="7"/>
  <c r="AI16" i="7"/>
  <c r="AG15" i="7"/>
  <c r="AC13" i="8"/>
  <c r="AC9" i="8"/>
  <c r="AI29" i="7"/>
  <c r="AC23" i="7"/>
  <c r="AU19" i="7"/>
  <c r="AI14" i="13"/>
  <c r="AC21" i="10"/>
  <c r="AU17" i="10"/>
  <c r="AG14" i="10"/>
  <c r="AT12" i="10"/>
  <c r="AG37" i="9"/>
  <c r="AT31" i="9"/>
  <c r="AI27" i="9"/>
  <c r="AC19" i="9"/>
  <c r="AU11" i="9"/>
  <c r="AI31" i="8"/>
  <c r="AI14" i="8"/>
  <c r="AG32" i="7"/>
  <c r="AU27" i="7"/>
  <c r="AG24" i="7"/>
  <c r="AG26" i="10"/>
  <c r="AT22" i="9"/>
  <c r="AI17" i="9"/>
  <c r="AG30" i="8"/>
  <c r="AI18" i="8"/>
  <c r="AG14" i="8"/>
  <c r="AT13" i="8"/>
  <c r="AI10" i="8"/>
  <c r="AT9" i="8"/>
  <c r="AG38" i="7"/>
  <c r="AU37" i="7"/>
  <c r="AC37" i="7"/>
  <c r="AG33" i="7"/>
  <c r="AU32" i="7"/>
  <c r="AC32" i="7"/>
  <c r="AG29" i="7"/>
  <c r="AU28" i="7"/>
  <c r="AC28" i="7"/>
  <c r="AT27" i="7"/>
  <c r="AU24" i="7"/>
  <c r="AC24" i="7"/>
  <c r="AT23" i="7"/>
  <c r="AU20" i="7"/>
  <c r="AC20" i="7"/>
  <c r="AT19" i="7"/>
  <c r="AU16" i="7"/>
  <c r="AC16" i="7"/>
  <c r="AT15" i="7"/>
  <c r="AI13" i="7"/>
  <c r="AG12" i="7"/>
  <c r="AG9" i="7"/>
  <c r="AT8" i="7"/>
  <c r="AX39" i="3"/>
  <c r="BB39" i="3"/>
  <c r="BA39" i="3"/>
  <c r="D22" i="1"/>
  <c r="D23" i="1"/>
  <c r="D24" i="1"/>
  <c r="AI40" i="17"/>
  <c r="AC40" i="17"/>
  <c r="AG40" i="15"/>
  <c r="AC40" i="10"/>
  <c r="AI40" i="8"/>
  <c r="AG40" i="13"/>
  <c r="AG40" i="14"/>
  <c r="AI40" i="12"/>
  <c r="AC40" i="13"/>
  <c r="AG40" i="17"/>
  <c r="AC40" i="7"/>
  <c r="AG40" i="8"/>
  <c r="AI40" i="11"/>
  <c r="AI40" i="10"/>
  <c r="AC40" i="11"/>
  <c r="AC40" i="12"/>
  <c r="AI40" i="16"/>
  <c r="AI40" i="9"/>
  <c r="AG40" i="11"/>
  <c r="AG40" i="10"/>
  <c r="AI40" i="13"/>
  <c r="AI40" i="14"/>
  <c r="AG40" i="12"/>
  <c r="AC40" i="15"/>
  <c r="AI40" i="15"/>
  <c r="AI40" i="7"/>
  <c r="AG40" i="7"/>
  <c r="AC40" i="9"/>
  <c r="AG40" i="9"/>
  <c r="AC40" i="16"/>
  <c r="AG40" i="16"/>
  <c r="AC40" i="8"/>
  <c r="AC40" i="14"/>
  <c r="AW40" i="3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28" i="1"/>
  <c r="J96" i="4"/>
  <c r="I96" i="4"/>
  <c r="H96" i="4"/>
  <c r="G96" i="4"/>
  <c r="F96" i="4"/>
  <c r="E96" i="4"/>
  <c r="J95" i="4"/>
  <c r="I95" i="4"/>
  <c r="H95" i="4"/>
  <c r="G95" i="4"/>
  <c r="F95" i="4"/>
  <c r="E95" i="4"/>
  <c r="L3" i="1"/>
  <c r="L4" i="1"/>
  <c r="H12" i="1"/>
  <c r="AW39" i="17"/>
  <c r="L8" i="1"/>
  <c r="L7" i="1"/>
  <c r="L6" i="1"/>
  <c r="L5" i="1"/>
  <c r="H9" i="1"/>
  <c r="H8" i="1"/>
  <c r="H7" i="1"/>
  <c r="H6" i="1"/>
  <c r="H5" i="1"/>
  <c r="AW39" i="3"/>
  <c r="AW41" i="3"/>
  <c r="AW39" i="9"/>
  <c r="AW41" i="9"/>
  <c r="AW39" i="16"/>
  <c r="AW41" i="16"/>
  <c r="AW39" i="15"/>
  <c r="AW41" i="15"/>
  <c r="AW39" i="14"/>
  <c r="AW41" i="14"/>
  <c r="AW39" i="13"/>
  <c r="AW41" i="13"/>
  <c r="AW39" i="12"/>
  <c r="AW41" i="12"/>
  <c r="AW39" i="11"/>
  <c r="AW41" i="11"/>
  <c r="AW39" i="10"/>
  <c r="AW41" i="10"/>
  <c r="AW39" i="8"/>
  <c r="AW41" i="8"/>
  <c r="AW39" i="7"/>
  <c r="AW41" i="7"/>
  <c r="AB39" i="3"/>
  <c r="K39" i="3"/>
  <c r="AO5" i="5"/>
  <c r="AO6" i="5"/>
  <c r="AO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4" i="5"/>
  <c r="M23" i="1"/>
  <c r="N23" i="1"/>
  <c r="O23" i="1"/>
  <c r="M24" i="1"/>
  <c r="N24" i="1"/>
  <c r="O24" i="1"/>
  <c r="N19" i="1"/>
  <c r="M19" i="1"/>
  <c r="G38" i="5"/>
  <c r="C41" i="5"/>
  <c r="J39" i="5"/>
  <c r="M39" i="5"/>
  <c r="G41" i="5"/>
  <c r="C39" i="5"/>
  <c r="C40" i="5"/>
  <c r="M41" i="5"/>
  <c r="C38" i="5"/>
  <c r="G40" i="5"/>
  <c r="M40" i="5"/>
  <c r="J41" i="5"/>
  <c r="J38" i="5"/>
  <c r="G39" i="5"/>
  <c r="J40" i="5"/>
  <c r="M38" i="5"/>
  <c r="W39" i="3"/>
  <c r="B11" i="1"/>
  <c r="I578" i="4"/>
  <c r="D578" i="4"/>
  <c r="D576" i="4"/>
  <c r="I575" i="4"/>
  <c r="I526" i="4"/>
  <c r="D526" i="4"/>
  <c r="D524" i="4"/>
  <c r="I523" i="4"/>
  <c r="I474" i="4"/>
  <c r="D474" i="4"/>
  <c r="D472" i="4"/>
  <c r="I471" i="4"/>
  <c r="I422" i="4"/>
  <c r="D422" i="4"/>
  <c r="D420" i="4"/>
  <c r="I419" i="4"/>
  <c r="I370" i="4"/>
  <c r="D370" i="4"/>
  <c r="D368" i="4"/>
  <c r="I367" i="4"/>
  <c r="I318" i="4"/>
  <c r="D318" i="4"/>
  <c r="D316" i="4"/>
  <c r="I315" i="4"/>
  <c r="I266" i="4"/>
  <c r="D266" i="4"/>
  <c r="D264" i="4"/>
  <c r="I263" i="4"/>
  <c r="I214" i="4"/>
  <c r="D214" i="4"/>
  <c r="D212" i="4"/>
  <c r="I211" i="4"/>
  <c r="I162" i="4"/>
  <c r="D162" i="4"/>
  <c r="D160" i="4"/>
  <c r="I159" i="4"/>
  <c r="I110" i="4"/>
  <c r="D110" i="4"/>
  <c r="D108" i="4"/>
  <c r="I107" i="4"/>
  <c r="I58" i="4"/>
  <c r="D58" i="4"/>
  <c r="D56" i="4"/>
  <c r="I55" i="4"/>
  <c r="D6" i="4"/>
  <c r="D4" i="4"/>
  <c r="I3" i="4"/>
  <c r="AR8" i="3"/>
  <c r="AR9" i="3"/>
  <c r="AR10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12" i="3"/>
  <c r="AR13" i="3"/>
  <c r="AR11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8" i="3"/>
  <c r="AQ9" i="3"/>
  <c r="AQ10" i="3"/>
  <c r="AQ11" i="3"/>
  <c r="AQ12" i="3"/>
  <c r="AQ13" i="3"/>
  <c r="AN13" i="3"/>
  <c r="I6" i="4"/>
  <c r="J10" i="3"/>
  <c r="O10" i="3"/>
  <c r="Q10" i="3"/>
  <c r="T10" i="3"/>
  <c r="AC10" i="3"/>
  <c r="AG10" i="3"/>
  <c r="AI10" i="3"/>
  <c r="AN10" i="3"/>
  <c r="AO10" i="3"/>
  <c r="AT10" i="3"/>
  <c r="AU10" i="3"/>
  <c r="J11" i="3"/>
  <c r="O11" i="3"/>
  <c r="Q11" i="3"/>
  <c r="T11" i="3"/>
  <c r="AC11" i="3"/>
  <c r="AG11" i="3"/>
  <c r="AI11" i="3"/>
  <c r="AN11" i="3"/>
  <c r="AO11" i="3"/>
  <c r="AT11" i="3"/>
  <c r="AU11" i="3"/>
  <c r="J12" i="3"/>
  <c r="L12" i="3"/>
  <c r="O12" i="3"/>
  <c r="Q12" i="3"/>
  <c r="T12" i="3"/>
  <c r="AC12" i="3"/>
  <c r="AG12" i="3"/>
  <c r="AI12" i="3"/>
  <c r="AN12" i="3"/>
  <c r="AO12" i="3"/>
  <c r="AT12" i="3"/>
  <c r="AU12" i="3"/>
  <c r="J13" i="3"/>
  <c r="L13" i="3"/>
  <c r="O13" i="3"/>
  <c r="T13" i="3"/>
  <c r="AC13" i="3"/>
  <c r="AG13" i="3"/>
  <c r="AI13" i="3"/>
  <c r="AO13" i="3"/>
  <c r="AT13" i="3"/>
  <c r="AU13" i="3"/>
  <c r="J14" i="3"/>
  <c r="L14" i="3"/>
  <c r="O14" i="3"/>
  <c r="T14" i="3"/>
  <c r="AC14" i="3"/>
  <c r="AG14" i="3"/>
  <c r="AI14" i="3"/>
  <c r="AN14" i="3"/>
  <c r="AO14" i="3"/>
  <c r="AT14" i="3"/>
  <c r="AU14" i="3"/>
  <c r="J15" i="3"/>
  <c r="L15" i="3"/>
  <c r="O15" i="3"/>
  <c r="Q15" i="3"/>
  <c r="T15" i="3"/>
  <c r="AC15" i="3"/>
  <c r="AG15" i="3"/>
  <c r="AI15" i="3"/>
  <c r="AN15" i="3"/>
  <c r="AO15" i="3"/>
  <c r="AT15" i="3"/>
  <c r="AU15" i="3"/>
  <c r="J16" i="3"/>
  <c r="L16" i="3"/>
  <c r="O16" i="3"/>
  <c r="Q16" i="3"/>
  <c r="T16" i="3"/>
  <c r="AC16" i="3"/>
  <c r="AG16" i="3"/>
  <c r="AI16" i="3"/>
  <c r="AN16" i="3"/>
  <c r="AO16" i="3"/>
  <c r="AT16" i="3"/>
  <c r="AU16" i="3"/>
  <c r="J17" i="3"/>
  <c r="L17" i="3"/>
  <c r="O17" i="3"/>
  <c r="Q17" i="3"/>
  <c r="T17" i="3"/>
  <c r="AC17" i="3"/>
  <c r="AG17" i="3"/>
  <c r="AI17" i="3"/>
  <c r="AN17" i="3"/>
  <c r="AO17" i="3"/>
  <c r="AT17" i="3"/>
  <c r="AU17" i="3"/>
  <c r="J18" i="3"/>
  <c r="L18" i="3"/>
  <c r="O18" i="3"/>
  <c r="T18" i="3"/>
  <c r="AC18" i="3"/>
  <c r="AG18" i="3"/>
  <c r="AI18" i="3"/>
  <c r="AN18" i="3"/>
  <c r="AO18" i="3"/>
  <c r="AT18" i="3"/>
  <c r="AU18" i="3"/>
  <c r="J19" i="3"/>
  <c r="L19" i="3"/>
  <c r="O19" i="3"/>
  <c r="Q19" i="3"/>
  <c r="T19" i="3"/>
  <c r="AC19" i="3"/>
  <c r="AG19" i="3"/>
  <c r="AI19" i="3"/>
  <c r="AN19" i="3"/>
  <c r="AO19" i="3"/>
  <c r="AT19" i="3"/>
  <c r="AU19" i="3"/>
  <c r="J20" i="3"/>
  <c r="L20" i="3"/>
  <c r="O20" i="3"/>
  <c r="T20" i="3"/>
  <c r="AC20" i="3"/>
  <c r="AG20" i="3"/>
  <c r="AI20" i="3"/>
  <c r="AN20" i="3"/>
  <c r="AO20" i="3"/>
  <c r="AT20" i="3"/>
  <c r="AU20" i="3"/>
  <c r="J21" i="3"/>
  <c r="L21" i="3"/>
  <c r="O21" i="3"/>
  <c r="Q21" i="3"/>
  <c r="T21" i="3"/>
  <c r="AC21" i="3"/>
  <c r="AG21" i="3"/>
  <c r="AI21" i="3"/>
  <c r="AN21" i="3"/>
  <c r="AO21" i="3"/>
  <c r="AT21" i="3"/>
  <c r="AU21" i="3"/>
  <c r="J22" i="3"/>
  <c r="L22" i="3"/>
  <c r="O22" i="3"/>
  <c r="Q22" i="3"/>
  <c r="T22" i="3"/>
  <c r="AC22" i="3"/>
  <c r="AG22" i="3"/>
  <c r="AI22" i="3"/>
  <c r="AN22" i="3"/>
  <c r="AO22" i="3"/>
  <c r="AT22" i="3"/>
  <c r="AU22" i="3"/>
  <c r="J23" i="3"/>
  <c r="L23" i="3"/>
  <c r="O23" i="3"/>
  <c r="Q23" i="3"/>
  <c r="T23" i="3"/>
  <c r="AC23" i="3"/>
  <c r="AG23" i="3"/>
  <c r="AI23" i="3"/>
  <c r="AN23" i="3"/>
  <c r="AO23" i="3"/>
  <c r="AT23" i="3"/>
  <c r="AU23" i="3"/>
  <c r="J24" i="3"/>
  <c r="L24" i="3"/>
  <c r="O24" i="3"/>
  <c r="Q24" i="3"/>
  <c r="T24" i="3"/>
  <c r="AC24" i="3"/>
  <c r="AG24" i="3"/>
  <c r="AI24" i="3"/>
  <c r="AN24" i="3"/>
  <c r="AO24" i="3"/>
  <c r="AT24" i="3"/>
  <c r="AU24" i="3"/>
  <c r="J25" i="3"/>
  <c r="L25" i="3"/>
  <c r="O25" i="3"/>
  <c r="Q25" i="3"/>
  <c r="T25" i="3"/>
  <c r="AC25" i="3"/>
  <c r="AG25" i="3"/>
  <c r="AI25" i="3"/>
  <c r="AN25" i="3"/>
  <c r="AO25" i="3"/>
  <c r="AT25" i="3"/>
  <c r="AU25" i="3"/>
  <c r="J26" i="3"/>
  <c r="L26" i="3"/>
  <c r="O26" i="3"/>
  <c r="Q26" i="3"/>
  <c r="T26" i="3"/>
  <c r="AC26" i="3"/>
  <c r="AG26" i="3"/>
  <c r="AI26" i="3"/>
  <c r="AN26" i="3"/>
  <c r="AO26" i="3"/>
  <c r="AT26" i="3"/>
  <c r="AU26" i="3"/>
  <c r="J27" i="3"/>
  <c r="L27" i="3"/>
  <c r="O27" i="3"/>
  <c r="Q27" i="3"/>
  <c r="T27" i="3"/>
  <c r="AC27" i="3"/>
  <c r="AG27" i="3"/>
  <c r="AI27" i="3"/>
  <c r="AN27" i="3"/>
  <c r="AO27" i="3"/>
  <c r="AT27" i="3"/>
  <c r="AU27" i="3"/>
  <c r="J28" i="3"/>
  <c r="L28" i="3"/>
  <c r="O28" i="3"/>
  <c r="T28" i="3"/>
  <c r="AC28" i="3"/>
  <c r="AG28" i="3"/>
  <c r="AI28" i="3"/>
  <c r="AN28" i="3"/>
  <c r="AO28" i="3"/>
  <c r="AT28" i="3"/>
  <c r="AU28" i="3"/>
  <c r="J29" i="3"/>
  <c r="L29" i="3"/>
  <c r="O29" i="3"/>
  <c r="T29" i="3"/>
  <c r="AC29" i="3"/>
  <c r="AG29" i="3"/>
  <c r="AI29" i="3"/>
  <c r="AN29" i="3"/>
  <c r="AO29" i="3"/>
  <c r="AT29" i="3"/>
  <c r="AU29" i="3"/>
  <c r="J30" i="3"/>
  <c r="L30" i="3"/>
  <c r="O30" i="3"/>
  <c r="T30" i="3"/>
  <c r="AC30" i="3"/>
  <c r="AG30" i="3"/>
  <c r="AI30" i="3"/>
  <c r="AN30" i="3"/>
  <c r="AO30" i="3"/>
  <c r="AT30" i="3"/>
  <c r="AU30" i="3"/>
  <c r="J31" i="3"/>
  <c r="L31" i="3"/>
  <c r="O31" i="3"/>
  <c r="T31" i="3"/>
  <c r="AC31" i="3"/>
  <c r="AG31" i="3"/>
  <c r="AI31" i="3"/>
  <c r="AN31" i="3"/>
  <c r="AO31" i="3"/>
  <c r="AT31" i="3"/>
  <c r="AU31" i="3"/>
  <c r="J32" i="3"/>
  <c r="L32" i="3"/>
  <c r="O32" i="3"/>
  <c r="T32" i="3"/>
  <c r="AC32" i="3"/>
  <c r="AG32" i="3"/>
  <c r="AI32" i="3"/>
  <c r="AN32" i="3"/>
  <c r="AO32" i="3"/>
  <c r="AT32" i="3"/>
  <c r="AU32" i="3"/>
  <c r="J33" i="3"/>
  <c r="L33" i="3"/>
  <c r="O33" i="3"/>
  <c r="T33" i="3"/>
  <c r="AC33" i="3"/>
  <c r="AG33" i="3"/>
  <c r="AI33" i="3"/>
  <c r="AN33" i="3"/>
  <c r="AO33" i="3"/>
  <c r="AT33" i="3"/>
  <c r="AU33" i="3"/>
  <c r="J34" i="3"/>
  <c r="L34" i="3"/>
  <c r="O34" i="3"/>
  <c r="T34" i="3"/>
  <c r="AC34" i="3"/>
  <c r="AG34" i="3"/>
  <c r="AI34" i="3"/>
  <c r="AN34" i="3"/>
  <c r="AO34" i="3"/>
  <c r="AT34" i="3"/>
  <c r="AU34" i="3"/>
  <c r="J35" i="3"/>
  <c r="L35" i="3"/>
  <c r="O35" i="3"/>
  <c r="T35" i="3"/>
  <c r="AC35" i="3"/>
  <c r="AG35" i="3"/>
  <c r="AI35" i="3"/>
  <c r="AN35" i="3"/>
  <c r="AO35" i="3"/>
  <c r="AT35" i="3"/>
  <c r="AU35" i="3"/>
  <c r="J36" i="3"/>
  <c r="L36" i="3"/>
  <c r="O36" i="3"/>
  <c r="T36" i="3"/>
  <c r="AC36" i="3"/>
  <c r="AG36" i="3"/>
  <c r="AI36" i="3"/>
  <c r="AN36" i="3"/>
  <c r="AO36" i="3"/>
  <c r="AT36" i="3"/>
  <c r="AU36" i="3"/>
  <c r="J37" i="3"/>
  <c r="L37" i="3"/>
  <c r="O37" i="3"/>
  <c r="T37" i="3"/>
  <c r="AC37" i="3"/>
  <c r="AG37" i="3"/>
  <c r="AI37" i="3"/>
  <c r="AN37" i="3"/>
  <c r="AO37" i="3"/>
  <c r="AT37" i="3"/>
  <c r="AU37" i="3"/>
  <c r="J38" i="3"/>
  <c r="L38" i="3"/>
  <c r="O38" i="3"/>
  <c r="T38" i="3"/>
  <c r="AC38" i="3"/>
  <c r="AG38" i="3"/>
  <c r="AI38" i="3"/>
  <c r="AN38" i="3"/>
  <c r="AO38" i="3"/>
  <c r="AT38" i="3"/>
  <c r="AU38" i="3"/>
  <c r="J9" i="3"/>
  <c r="O9" i="3"/>
  <c r="Q9" i="3"/>
  <c r="T9" i="3"/>
  <c r="AC9" i="3"/>
  <c r="AG9" i="3"/>
  <c r="AI9" i="3"/>
  <c r="AN9" i="3"/>
  <c r="AO9" i="3"/>
  <c r="AT9" i="3"/>
  <c r="AU9" i="3"/>
  <c r="AT8" i="3"/>
  <c r="AU8" i="3"/>
  <c r="AO8" i="3"/>
  <c r="AN8" i="3"/>
  <c r="L11" i="3"/>
  <c r="R11" i="3"/>
  <c r="L10" i="3"/>
  <c r="R10" i="3"/>
  <c r="L9" i="3"/>
  <c r="R9" i="3"/>
  <c r="S9" i="3"/>
  <c r="Q13" i="3"/>
  <c r="AV37" i="3"/>
  <c r="AW37" i="3"/>
  <c r="AV33" i="3"/>
  <c r="AW33" i="3"/>
  <c r="AV29" i="3"/>
  <c r="AW29" i="3"/>
  <c r="AV25" i="3"/>
  <c r="AW25" i="3"/>
  <c r="AV21" i="3"/>
  <c r="AW21" i="3"/>
  <c r="AV17" i="3"/>
  <c r="AW17" i="3"/>
  <c r="AV13" i="3"/>
  <c r="AW13" i="3"/>
  <c r="AV10" i="3"/>
  <c r="AW10" i="3"/>
  <c r="AV9" i="3"/>
  <c r="AW9" i="3"/>
  <c r="AV28" i="3"/>
  <c r="AW28" i="3"/>
  <c r="AV24" i="3"/>
  <c r="AW24" i="3"/>
  <c r="AV20" i="3"/>
  <c r="AW20" i="3"/>
  <c r="AV16" i="3"/>
  <c r="AW16" i="3"/>
  <c r="AV12" i="3"/>
  <c r="AW12" i="3"/>
  <c r="AV30" i="3"/>
  <c r="AW30" i="3"/>
  <c r="AV22" i="3"/>
  <c r="AW22" i="3"/>
  <c r="AV18" i="3"/>
  <c r="AW18" i="3"/>
  <c r="AV35" i="3"/>
  <c r="AW35" i="3"/>
  <c r="AV31" i="3"/>
  <c r="AW31" i="3"/>
  <c r="AV27" i="3"/>
  <c r="AW27" i="3"/>
  <c r="AV23" i="3"/>
  <c r="AW23" i="3"/>
  <c r="AV19" i="3"/>
  <c r="AW19" i="3"/>
  <c r="AV15" i="3"/>
  <c r="AV11" i="3"/>
  <c r="AW11" i="3"/>
  <c r="AV8" i="3"/>
  <c r="AW8" i="3"/>
  <c r="AV38" i="3"/>
  <c r="AW38" i="3"/>
  <c r="AV34" i="3"/>
  <c r="AW34" i="3"/>
  <c r="AV26" i="3"/>
  <c r="AW26" i="3"/>
  <c r="AV14" i="3"/>
  <c r="AW14" i="3"/>
  <c r="AV36" i="3"/>
  <c r="AW36" i="3"/>
  <c r="AV32" i="3"/>
  <c r="AW32" i="3"/>
  <c r="R17" i="3"/>
  <c r="R16" i="3"/>
  <c r="R19" i="3"/>
  <c r="R18" i="3"/>
  <c r="R13" i="3"/>
  <c r="R27" i="3"/>
  <c r="R21" i="3"/>
  <c r="R12" i="3"/>
  <c r="R26" i="3"/>
  <c r="R24" i="3"/>
  <c r="Q18" i="3"/>
  <c r="R25" i="3"/>
  <c r="R23" i="3"/>
  <c r="R22" i="3"/>
  <c r="S11" i="3"/>
  <c r="U11" i="3"/>
  <c r="BF11" i="3"/>
  <c r="R15" i="3"/>
  <c r="Q28" i="3"/>
  <c r="R28" i="3"/>
  <c r="Q20" i="3"/>
  <c r="R20" i="3"/>
  <c r="Q14" i="3"/>
  <c r="R14" i="3"/>
  <c r="Q35" i="3"/>
  <c r="R35" i="3"/>
  <c r="Q31" i="3"/>
  <c r="R31" i="3"/>
  <c r="Q37" i="3"/>
  <c r="R37" i="3"/>
  <c r="Q33" i="3"/>
  <c r="R33" i="3"/>
  <c r="Q29" i="3"/>
  <c r="R29" i="3"/>
  <c r="Q38" i="3"/>
  <c r="R38" i="3"/>
  <c r="Q36" i="3"/>
  <c r="R36" i="3"/>
  <c r="Q34" i="3"/>
  <c r="R34" i="3"/>
  <c r="Q32" i="3"/>
  <c r="R32" i="3"/>
  <c r="Q30" i="3"/>
  <c r="R30" i="3"/>
  <c r="AI8" i="3"/>
  <c r="AI40" i="3"/>
  <c r="AI41" i="3"/>
  <c r="AI39" i="17"/>
  <c r="AI41" i="17"/>
  <c r="AI39" i="7"/>
  <c r="AI41" i="7"/>
  <c r="AI39" i="8"/>
  <c r="AI41" i="8"/>
  <c r="AI39" i="9"/>
  <c r="AI41" i="9"/>
  <c r="AI39" i="10"/>
  <c r="AI41" i="10"/>
  <c r="AI39" i="11"/>
  <c r="AI41" i="11"/>
  <c r="AI39" i="12"/>
  <c r="AI41" i="12"/>
  <c r="AI39" i="13"/>
  <c r="AI41" i="13"/>
  <c r="AI39" i="14"/>
  <c r="AI41" i="14"/>
  <c r="AI39" i="15"/>
  <c r="AI41" i="15"/>
  <c r="AI39" i="16"/>
  <c r="AI41" i="16"/>
  <c r="AG8" i="3"/>
  <c r="AG40" i="3"/>
  <c r="AG41" i="3"/>
  <c r="AG39" i="17"/>
  <c r="AG41" i="17"/>
  <c r="AG39" i="7"/>
  <c r="AG41" i="7"/>
  <c r="AG39" i="8"/>
  <c r="AG41" i="8"/>
  <c r="AG39" i="9"/>
  <c r="AG41" i="9"/>
  <c r="AG39" i="10"/>
  <c r="AG41" i="10"/>
  <c r="AG39" i="11"/>
  <c r="AG41" i="11"/>
  <c r="AG39" i="12"/>
  <c r="AG41" i="12"/>
  <c r="AG39" i="13"/>
  <c r="AG41" i="13"/>
  <c r="AG39" i="14"/>
  <c r="AG41" i="14"/>
  <c r="AG39" i="15"/>
  <c r="AG41" i="15"/>
  <c r="AG39" i="16"/>
  <c r="AG41" i="16"/>
  <c r="AC8" i="3"/>
  <c r="AC40" i="3"/>
  <c r="AC41" i="3"/>
  <c r="AC39" i="17"/>
  <c r="AC41" i="17"/>
  <c r="AC39" i="7"/>
  <c r="AC41" i="7"/>
  <c r="AC39" i="8"/>
  <c r="AC41" i="8"/>
  <c r="AC39" i="9"/>
  <c r="AC41" i="9"/>
  <c r="AC39" i="10"/>
  <c r="AC41" i="10"/>
  <c r="AC39" i="11"/>
  <c r="AC41" i="11"/>
  <c r="AC39" i="12"/>
  <c r="AC41" i="12"/>
  <c r="AC39" i="13"/>
  <c r="AC41" i="13"/>
  <c r="AC39" i="14"/>
  <c r="AC41" i="14"/>
  <c r="AC39" i="15"/>
  <c r="AC41" i="15"/>
  <c r="AC39" i="16"/>
  <c r="AC41" i="16"/>
  <c r="S12" i="3"/>
  <c r="U12" i="3"/>
  <c r="BF12" i="3"/>
  <c r="S17" i="3"/>
  <c r="U17" i="3"/>
  <c r="BF17" i="3"/>
  <c r="S10" i="3"/>
  <c r="U10" i="3"/>
  <c r="BF10" i="3"/>
  <c r="S15" i="3"/>
  <c r="U15" i="3"/>
  <c r="BF15" i="3"/>
  <c r="S23" i="3"/>
  <c r="U23" i="3"/>
  <c r="BF23" i="3"/>
  <c r="S24" i="3"/>
  <c r="U24" i="3"/>
  <c r="BF24" i="3"/>
  <c r="S27" i="3"/>
  <c r="U27" i="3"/>
  <c r="BF27" i="3"/>
  <c r="S19" i="3"/>
  <c r="U19" i="3"/>
  <c r="BF19" i="3"/>
  <c r="U9" i="3"/>
  <c r="BF9" i="3"/>
  <c r="S30" i="3"/>
  <c r="U30" i="3"/>
  <c r="BF30" i="3"/>
  <c r="S34" i="3"/>
  <c r="U34" i="3"/>
  <c r="BF34" i="3"/>
  <c r="S38" i="3"/>
  <c r="U38" i="3"/>
  <c r="BF38" i="3"/>
  <c r="S33" i="3"/>
  <c r="U33" i="3"/>
  <c r="BF33" i="3"/>
  <c r="S31" i="3"/>
  <c r="U31" i="3"/>
  <c r="BF31" i="3"/>
  <c r="S14" i="3"/>
  <c r="U14" i="3"/>
  <c r="BF14" i="3"/>
  <c r="S28" i="3"/>
  <c r="U28" i="3"/>
  <c r="BF28" i="3"/>
  <c r="S25" i="3"/>
  <c r="U25" i="3"/>
  <c r="BF25" i="3"/>
  <c r="S26" i="3"/>
  <c r="U26" i="3"/>
  <c r="BF26" i="3"/>
  <c r="S18" i="3"/>
  <c r="U18" i="3"/>
  <c r="BF18" i="3"/>
  <c r="S16" i="3"/>
  <c r="U16" i="3"/>
  <c r="BF16" i="3"/>
  <c r="S13" i="3"/>
  <c r="U13" i="3"/>
  <c r="BF13" i="3"/>
  <c r="S32" i="3"/>
  <c r="U32" i="3"/>
  <c r="BF32" i="3"/>
  <c r="S36" i="3"/>
  <c r="U36" i="3"/>
  <c r="BF36" i="3"/>
  <c r="S29" i="3"/>
  <c r="U29" i="3"/>
  <c r="BF29" i="3"/>
  <c r="S37" i="3"/>
  <c r="U37" i="3"/>
  <c r="BF37" i="3"/>
  <c r="S35" i="3"/>
  <c r="U35" i="3"/>
  <c r="BF35" i="3"/>
  <c r="S20" i="3"/>
  <c r="U20" i="3"/>
  <c r="BF20" i="3"/>
  <c r="S22" i="3"/>
  <c r="U22" i="3"/>
  <c r="BF22" i="3"/>
  <c r="S21" i="3"/>
  <c r="U21" i="3"/>
  <c r="BF21" i="3"/>
  <c r="AW15" i="3"/>
  <c r="T8" i="3"/>
  <c r="O8" i="3"/>
  <c r="Q8" i="3"/>
  <c r="J8" i="3"/>
  <c r="L8" i="3"/>
  <c r="R8" i="3"/>
  <c r="S8" i="3"/>
  <c r="U8" i="3"/>
  <c r="BF8" i="3"/>
  <c r="K43" i="3"/>
  <c r="H2" i="1"/>
  <c r="D20" i="1"/>
  <c r="C20" i="1"/>
  <c r="B15" i="1"/>
  <c r="B16" i="1"/>
  <c r="B17" i="1"/>
  <c r="D10" i="1"/>
  <c r="C3" i="17"/>
  <c r="E3" i="17"/>
  <c r="C4" i="17"/>
  <c r="C3" i="14"/>
  <c r="C3" i="10"/>
  <c r="C3" i="3"/>
  <c r="E3" i="13"/>
  <c r="C4" i="10"/>
  <c r="C4" i="16"/>
  <c r="E3" i="15"/>
  <c r="C4" i="12"/>
  <c r="E3" i="11"/>
  <c r="C4" i="8"/>
  <c r="E3" i="7"/>
  <c r="C3" i="15"/>
  <c r="C3" i="11"/>
  <c r="C3" i="7"/>
  <c r="E3" i="16"/>
  <c r="C4" i="13"/>
  <c r="E3" i="12"/>
  <c r="C4" i="9"/>
  <c r="E3" i="8"/>
  <c r="C4" i="14"/>
  <c r="C3" i="13"/>
  <c r="C3" i="9"/>
  <c r="C3" i="16"/>
  <c r="C3" i="12"/>
  <c r="C3" i="8"/>
  <c r="E3" i="9"/>
  <c r="C4" i="15"/>
  <c r="E3" i="14"/>
  <c r="C4" i="11"/>
  <c r="E3" i="10"/>
  <c r="C4" i="7"/>
  <c r="E3" i="3"/>
  <c r="C4" i="3"/>
  <c r="I3" i="5"/>
  <c r="C3" i="5"/>
  <c r="O20" i="1"/>
  <c r="AO1" i="5"/>
  <c r="M20" i="1"/>
  <c r="N20" i="1"/>
  <c r="D21" i="1"/>
  <c r="N21" i="1"/>
  <c r="M22" i="1"/>
  <c r="N22" i="1"/>
  <c r="O22" i="1"/>
  <c r="J26" i="1"/>
  <c r="B1" i="5"/>
  <c r="B8" i="3"/>
  <c r="A1" i="2"/>
  <c r="C4" i="5"/>
  <c r="E4" i="3"/>
  <c r="Q16" i="1"/>
  <c r="Q15" i="1"/>
  <c r="Q14" i="1"/>
  <c r="N15" i="1"/>
  <c r="N16" i="1"/>
  <c r="N14" i="1"/>
  <c r="M21" i="1"/>
  <c r="O21" i="1"/>
  <c r="L3" i="5"/>
  <c r="AX3" i="5"/>
  <c r="BA3" i="5"/>
  <c r="F3" i="5"/>
  <c r="AP3" i="5"/>
  <c r="AS3" i="5"/>
  <c r="AX8" i="3"/>
  <c r="BB8" i="3"/>
  <c r="AS8" i="3"/>
  <c r="AY8" i="3"/>
  <c r="A8" i="3"/>
  <c r="F8" i="3"/>
  <c r="B14" i="4"/>
  <c r="B9" i="3"/>
  <c r="B3" i="2"/>
  <c r="A3" i="2"/>
  <c r="B13" i="2"/>
  <c r="A13" i="2"/>
  <c r="B17" i="2"/>
  <c r="A17" i="2"/>
  <c r="B15" i="2"/>
  <c r="A15" i="2"/>
  <c r="B6" i="2"/>
  <c r="B19" i="2"/>
  <c r="A19" i="2"/>
  <c r="B16" i="2"/>
  <c r="A16" i="2"/>
  <c r="B8" i="2"/>
  <c r="A8" i="2"/>
  <c r="B14" i="2"/>
  <c r="A14" i="2"/>
  <c r="B18" i="2"/>
  <c r="A18" i="2"/>
  <c r="E4" i="5"/>
  <c r="D8" i="3"/>
  <c r="V8" i="3"/>
  <c r="Y9" i="7"/>
  <c r="Y9" i="3"/>
  <c r="J14" i="4"/>
  <c r="G14" i="4"/>
  <c r="E14" i="4"/>
  <c r="D14" i="4"/>
  <c r="F14" i="4"/>
  <c r="C5" i="5"/>
  <c r="AT3" i="5"/>
  <c r="AW3" i="5"/>
  <c r="O3" i="5"/>
  <c r="BB3" i="5"/>
  <c r="BE3" i="5"/>
  <c r="AP4" i="5"/>
  <c r="AX9" i="3"/>
  <c r="D8" i="4"/>
  <c r="C14" i="4"/>
  <c r="B10" i="3"/>
  <c r="C6" i="5"/>
  <c r="AS9" i="3"/>
  <c r="AY9" i="3"/>
  <c r="AP8" i="3"/>
  <c r="AZ8" i="3"/>
  <c r="BA8" i="3"/>
  <c r="F9" i="3"/>
  <c r="B15" i="4"/>
  <c r="A9" i="3"/>
  <c r="B11" i="2"/>
  <c r="A11" i="2"/>
  <c r="B10" i="2"/>
  <c r="A10" i="2"/>
  <c r="A6" i="2"/>
  <c r="B4" i="2"/>
  <c r="A4" i="2"/>
  <c r="B12" i="2"/>
  <c r="A12" i="2"/>
  <c r="B9" i="2"/>
  <c r="A9" i="2"/>
  <c r="B7" i="2"/>
  <c r="A7" i="2"/>
  <c r="B5" i="2"/>
  <c r="A5" i="2"/>
  <c r="Q3" i="1"/>
  <c r="E8" i="3"/>
  <c r="I14" i="4"/>
  <c r="G15" i="4"/>
  <c r="F15" i="4"/>
  <c r="E15" i="4"/>
  <c r="I15" i="4"/>
  <c r="D15" i="4"/>
  <c r="H14" i="4"/>
  <c r="AP6" i="5"/>
  <c r="E6" i="5"/>
  <c r="AP5" i="5"/>
  <c r="E5" i="5"/>
  <c r="R3" i="5"/>
  <c r="BF3" i="5"/>
  <c r="BI3" i="5"/>
  <c r="AX10" i="3"/>
  <c r="BB10" i="3"/>
  <c r="C15" i="4"/>
  <c r="AP9" i="3"/>
  <c r="AZ9" i="3"/>
  <c r="BA9" i="3"/>
  <c r="D10" i="3"/>
  <c r="E10" i="3"/>
  <c r="AP10" i="3"/>
  <c r="AZ10" i="3"/>
  <c r="AS10" i="3"/>
  <c r="AY10" i="3"/>
  <c r="C10" i="3"/>
  <c r="F10" i="3"/>
  <c r="B16" i="4"/>
  <c r="B11" i="3"/>
  <c r="C7" i="5"/>
  <c r="D9" i="3"/>
  <c r="C9" i="3"/>
  <c r="A10" i="3"/>
  <c r="C8" i="3"/>
  <c r="Y11" i="3"/>
  <c r="Y10" i="3"/>
  <c r="G16" i="4"/>
  <c r="E16" i="4"/>
  <c r="I16" i="4"/>
  <c r="H16" i="4"/>
  <c r="F16" i="4"/>
  <c r="D16" i="4"/>
  <c r="H15" i="4"/>
  <c r="E7" i="5"/>
  <c r="AP7" i="5"/>
  <c r="U3" i="5"/>
  <c r="BJ3" i="5"/>
  <c r="BM3" i="5"/>
  <c r="BC8" i="3"/>
  <c r="AX11" i="3"/>
  <c r="BB11" i="3"/>
  <c r="C16" i="4"/>
  <c r="BA10" i="3"/>
  <c r="E9" i="3"/>
  <c r="AE9" i="3"/>
  <c r="AK9" i="3"/>
  <c r="AB9" i="3"/>
  <c r="AD9" i="3"/>
  <c r="AF9" i="3"/>
  <c r="AH9" i="3"/>
  <c r="AJ9" i="3"/>
  <c r="AL9" i="3"/>
  <c r="AM9" i="3"/>
  <c r="C11" i="3"/>
  <c r="F11" i="3"/>
  <c r="B17" i="4"/>
  <c r="B12" i="3"/>
  <c r="D11" i="3"/>
  <c r="AP11" i="3"/>
  <c r="AZ11" i="3"/>
  <c r="AS11" i="3"/>
  <c r="AY11" i="3"/>
  <c r="AB10" i="3"/>
  <c r="AD10" i="3"/>
  <c r="AE10" i="3"/>
  <c r="AM10" i="3"/>
  <c r="AH10" i="3"/>
  <c r="AL10" i="3"/>
  <c r="AK10" i="3"/>
  <c r="AF10" i="3"/>
  <c r="AJ10" i="3"/>
  <c r="AK8" i="3"/>
  <c r="AJ8" i="3"/>
  <c r="AF8" i="3"/>
  <c r="AB8" i="3"/>
  <c r="AM8" i="3"/>
  <c r="AE8" i="3"/>
  <c r="AL8" i="3"/>
  <c r="AD8" i="3"/>
  <c r="AH8" i="3"/>
  <c r="A11" i="3"/>
  <c r="Y12" i="3"/>
  <c r="G17" i="4"/>
  <c r="H17" i="4"/>
  <c r="E17" i="4"/>
  <c r="I17" i="4"/>
  <c r="F17" i="4"/>
  <c r="D17" i="4"/>
  <c r="C8" i="5"/>
  <c r="X3" i="5"/>
  <c r="BN3" i="5"/>
  <c r="BQ3" i="5"/>
  <c r="AX12" i="3"/>
  <c r="BB12" i="3"/>
  <c r="C17" i="4"/>
  <c r="BA11" i="3"/>
  <c r="E11" i="3"/>
  <c r="AB11" i="3"/>
  <c r="AD11" i="3"/>
  <c r="AL11" i="3"/>
  <c r="AF11" i="3"/>
  <c r="AH11" i="3"/>
  <c r="AJ11" i="3"/>
  <c r="AE11" i="3"/>
  <c r="AM11" i="3"/>
  <c r="AK11" i="3"/>
  <c r="D12" i="3"/>
  <c r="B13" i="3"/>
  <c r="C9" i="5"/>
  <c r="C12" i="3"/>
  <c r="AP12" i="3"/>
  <c r="AZ12" i="3"/>
  <c r="F12" i="3"/>
  <c r="B18" i="4"/>
  <c r="AS12" i="3"/>
  <c r="AY12" i="3"/>
  <c r="A12" i="3"/>
  <c r="BB9" i="3"/>
  <c r="G18" i="4"/>
  <c r="I18" i="4"/>
  <c r="F18" i="4"/>
  <c r="E18" i="4"/>
  <c r="H18" i="4"/>
  <c r="D18" i="4"/>
  <c r="AP8" i="5"/>
  <c r="E8" i="5"/>
  <c r="AP9" i="5"/>
  <c r="E9" i="5"/>
  <c r="AA3" i="5"/>
  <c r="BR3" i="5"/>
  <c r="BU3" i="5"/>
  <c r="BB13" i="3"/>
  <c r="C18" i="4"/>
  <c r="C13" i="3"/>
  <c r="AX13" i="3"/>
  <c r="BA12" i="3"/>
  <c r="E12" i="3"/>
  <c r="AL12" i="3"/>
  <c r="AB12" i="3"/>
  <c r="AD12" i="3"/>
  <c r="AF12" i="3"/>
  <c r="AE12" i="3"/>
  <c r="AM12" i="3"/>
  <c r="AH12" i="3"/>
  <c r="AK12" i="3"/>
  <c r="AJ12" i="3"/>
  <c r="D13" i="3"/>
  <c r="AP13" i="3"/>
  <c r="AZ13" i="3"/>
  <c r="AS13" i="3"/>
  <c r="AY13" i="3"/>
  <c r="B14" i="3"/>
  <c r="F13" i="3"/>
  <c r="B19" i="4"/>
  <c r="A13" i="3"/>
  <c r="Y13" i="3"/>
  <c r="G19" i="4"/>
  <c r="H19" i="4"/>
  <c r="F19" i="4"/>
  <c r="E19" i="4"/>
  <c r="I19" i="4"/>
  <c r="D19" i="4"/>
  <c r="C10" i="5"/>
  <c r="AD3" i="5"/>
  <c r="BV3" i="5"/>
  <c r="BY3" i="5"/>
  <c r="AX14" i="3"/>
  <c r="BB14" i="3"/>
  <c r="C19" i="4"/>
  <c r="BA13" i="3"/>
  <c r="E13" i="3"/>
  <c r="AF13" i="3"/>
  <c r="AH13" i="3"/>
  <c r="AJ13" i="3"/>
  <c r="AL13" i="3"/>
  <c r="AB13" i="3"/>
  <c r="AD13" i="3"/>
  <c r="AM13" i="3"/>
  <c r="AK13" i="3"/>
  <c r="AE13" i="3"/>
  <c r="C14" i="3"/>
  <c r="F14" i="3"/>
  <c r="B20" i="4"/>
  <c r="AP14" i="3"/>
  <c r="AZ14" i="3"/>
  <c r="D14" i="3"/>
  <c r="E14" i="3"/>
  <c r="B15" i="3"/>
  <c r="C11" i="5"/>
  <c r="AS14" i="3"/>
  <c r="AY14" i="3"/>
  <c r="A14" i="3"/>
  <c r="Y14" i="3"/>
  <c r="G20" i="4"/>
  <c r="E20" i="4"/>
  <c r="I20" i="4"/>
  <c r="H20" i="4"/>
  <c r="D20" i="4"/>
  <c r="F20" i="4"/>
  <c r="E11" i="5"/>
  <c r="AP11" i="5"/>
  <c r="AP10" i="5"/>
  <c r="E10" i="5"/>
  <c r="AG3" i="5"/>
  <c r="BZ3" i="5"/>
  <c r="CC3" i="5"/>
  <c r="AX15" i="3"/>
  <c r="C20" i="4"/>
  <c r="BA14" i="3"/>
  <c r="AB14" i="3"/>
  <c r="AD14" i="3"/>
  <c r="AF14" i="3"/>
  <c r="AE14" i="3"/>
  <c r="AM14" i="3"/>
  <c r="AH14" i="3"/>
  <c r="AL14" i="3"/>
  <c r="AK14" i="3"/>
  <c r="AJ14" i="3"/>
  <c r="C15" i="3"/>
  <c r="F15" i="3"/>
  <c r="B21" i="4"/>
  <c r="B16" i="3"/>
  <c r="D15" i="3"/>
  <c r="E15" i="3"/>
  <c r="AP15" i="3"/>
  <c r="AZ15" i="3"/>
  <c r="AS15" i="3"/>
  <c r="AY15" i="3"/>
  <c r="A15" i="3"/>
  <c r="Y15" i="3"/>
  <c r="G21" i="4"/>
  <c r="H21" i="4"/>
  <c r="E21" i="4"/>
  <c r="I21" i="4"/>
  <c r="F21" i="4"/>
  <c r="D21" i="4"/>
  <c r="C12" i="5"/>
  <c r="AJ3" i="5"/>
  <c r="CD3" i="5"/>
  <c r="CG3" i="5"/>
  <c r="AX16" i="3"/>
  <c r="BB16" i="3"/>
  <c r="C21" i="4"/>
  <c r="BA15" i="3"/>
  <c r="D16" i="3"/>
  <c r="AP16" i="3"/>
  <c r="AZ16" i="3"/>
  <c r="AS16" i="3"/>
  <c r="AY16" i="3"/>
  <c r="C16" i="3"/>
  <c r="B17" i="3"/>
  <c r="C13" i="5"/>
  <c r="F16" i="3"/>
  <c r="B22" i="4"/>
  <c r="AB15" i="3"/>
  <c r="AD15" i="3"/>
  <c r="AL15" i="3"/>
  <c r="AF15" i="3"/>
  <c r="AH15" i="3"/>
  <c r="AJ15" i="3"/>
  <c r="AK15" i="3"/>
  <c r="AE15" i="3"/>
  <c r="AM15" i="3"/>
  <c r="A16" i="3"/>
  <c r="Y16" i="3"/>
  <c r="G22" i="4"/>
  <c r="H22" i="4"/>
  <c r="E22" i="4"/>
  <c r="D22" i="4"/>
  <c r="I22" i="4"/>
  <c r="F22" i="4"/>
  <c r="AP12" i="5"/>
  <c r="E12" i="5"/>
  <c r="AP13" i="5"/>
  <c r="E13" i="5"/>
  <c r="BB15" i="3"/>
  <c r="CH3" i="5"/>
  <c r="CK3" i="5"/>
  <c r="BB17" i="3"/>
  <c r="AX17" i="3"/>
  <c r="C22" i="4"/>
  <c r="BA16" i="3"/>
  <c r="E16" i="3"/>
  <c r="C17" i="3"/>
  <c r="F17" i="3"/>
  <c r="B23" i="4"/>
  <c r="B18" i="3"/>
  <c r="D17" i="3"/>
  <c r="E17" i="3"/>
  <c r="AP17" i="3"/>
  <c r="AZ17" i="3"/>
  <c r="AS17" i="3"/>
  <c r="AY17" i="3"/>
  <c r="AB16" i="3"/>
  <c r="AD16" i="3"/>
  <c r="AK16" i="3"/>
  <c r="AF16" i="3"/>
  <c r="AJ16" i="3"/>
  <c r="AE16" i="3"/>
  <c r="AM16" i="3"/>
  <c r="AH16" i="3"/>
  <c r="AL16" i="3"/>
  <c r="A17" i="3"/>
  <c r="Y17" i="3"/>
  <c r="Y40" i="3"/>
  <c r="G23" i="4"/>
  <c r="H23" i="4"/>
  <c r="F23" i="4"/>
  <c r="E23" i="4"/>
  <c r="I23" i="4"/>
  <c r="D23" i="4"/>
  <c r="C14" i="5"/>
  <c r="BB18" i="3"/>
  <c r="AX18" i="3"/>
  <c r="C23" i="4"/>
  <c r="BA17" i="3"/>
  <c r="D18" i="3"/>
  <c r="E18" i="3"/>
  <c r="B19" i="3"/>
  <c r="C18" i="3"/>
  <c r="AP18" i="3"/>
  <c r="AZ18" i="3"/>
  <c r="AS18" i="3"/>
  <c r="AY18" i="3"/>
  <c r="F18" i="3"/>
  <c r="B24" i="4"/>
  <c r="AB17" i="3"/>
  <c r="AD17" i="3"/>
  <c r="AL17" i="3"/>
  <c r="AF17" i="3"/>
  <c r="AH17" i="3"/>
  <c r="AJ17" i="3"/>
  <c r="AE17" i="3"/>
  <c r="AK17" i="3"/>
  <c r="AM17" i="3"/>
  <c r="A18" i="3"/>
  <c r="G24" i="4"/>
  <c r="F24" i="4"/>
  <c r="I24" i="4"/>
  <c r="H24" i="4"/>
  <c r="E24" i="4"/>
  <c r="D24" i="4"/>
  <c r="E14" i="5"/>
  <c r="AP14" i="5"/>
  <c r="C15" i="5"/>
  <c r="AX19" i="3"/>
  <c r="BB19" i="3"/>
  <c r="C24" i="4"/>
  <c r="BA18" i="3"/>
  <c r="AL18" i="3"/>
  <c r="AB18" i="3"/>
  <c r="AD18" i="3"/>
  <c r="AF18" i="3"/>
  <c r="AE18" i="3"/>
  <c r="AM18" i="3"/>
  <c r="AH18" i="3"/>
  <c r="AK18" i="3"/>
  <c r="AJ18" i="3"/>
  <c r="D19" i="3"/>
  <c r="AP19" i="3"/>
  <c r="AZ19" i="3"/>
  <c r="AS19" i="3"/>
  <c r="AY19" i="3"/>
  <c r="C19" i="3"/>
  <c r="B20" i="3"/>
  <c r="F19" i="3"/>
  <c r="B25" i="4"/>
  <c r="A19" i="3"/>
  <c r="G25" i="4"/>
  <c r="H25" i="4"/>
  <c r="F25" i="4"/>
  <c r="E25" i="4"/>
  <c r="D25" i="4"/>
  <c r="I25" i="4"/>
  <c r="C16" i="5"/>
  <c r="E15" i="5"/>
  <c r="AP15" i="5"/>
  <c r="AX20" i="3"/>
  <c r="BB20" i="3"/>
  <c r="C25" i="4"/>
  <c r="BA19" i="3"/>
  <c r="E19" i="3"/>
  <c r="C20" i="3"/>
  <c r="F20" i="3"/>
  <c r="B26" i="4"/>
  <c r="B21" i="3"/>
  <c r="AP20" i="3"/>
  <c r="AZ20" i="3"/>
  <c r="D20" i="3"/>
  <c r="E20" i="3"/>
  <c r="AS20" i="3"/>
  <c r="AY20" i="3"/>
  <c r="AF19" i="3"/>
  <c r="AH19" i="3"/>
  <c r="AJ19" i="3"/>
  <c r="AL19" i="3"/>
  <c r="AB19" i="3"/>
  <c r="AD19" i="3"/>
  <c r="AE19" i="3"/>
  <c r="AM19" i="3"/>
  <c r="AK19" i="3"/>
  <c r="A20" i="3"/>
  <c r="G26" i="4"/>
  <c r="I26" i="4"/>
  <c r="H26" i="4"/>
  <c r="F26" i="4"/>
  <c r="E26" i="4"/>
  <c r="D26" i="4"/>
  <c r="C17" i="5"/>
  <c r="AP16" i="5"/>
  <c r="E16" i="5"/>
  <c r="AX21" i="3"/>
  <c r="BB21" i="3"/>
  <c r="C26" i="4"/>
  <c r="BA20" i="3"/>
  <c r="D21" i="3"/>
  <c r="AP21" i="3"/>
  <c r="AZ21" i="3"/>
  <c r="B22" i="3"/>
  <c r="C21" i="3"/>
  <c r="F21" i="3"/>
  <c r="B27" i="4"/>
  <c r="AS21" i="3"/>
  <c r="AY21" i="3"/>
  <c r="AB20" i="3"/>
  <c r="AD20" i="3"/>
  <c r="AM20" i="3"/>
  <c r="AL20" i="3"/>
  <c r="AK20" i="3"/>
  <c r="AF20" i="3"/>
  <c r="AJ20" i="3"/>
  <c r="AE20" i="3"/>
  <c r="AH20" i="3"/>
  <c r="A21" i="3"/>
  <c r="G27" i="4"/>
  <c r="I27" i="4"/>
  <c r="H27" i="4"/>
  <c r="F27" i="4"/>
  <c r="E27" i="4"/>
  <c r="D27" i="4"/>
  <c r="C18" i="5"/>
  <c r="AP17" i="5"/>
  <c r="E17" i="5"/>
  <c r="AX22" i="3"/>
  <c r="BB22" i="3"/>
  <c r="C27" i="4"/>
  <c r="BA21" i="3"/>
  <c r="E21" i="3"/>
  <c r="AF21" i="3"/>
  <c r="AH21" i="3"/>
  <c r="AJ21" i="3"/>
  <c r="AL21" i="3"/>
  <c r="AB21" i="3"/>
  <c r="AD21" i="3"/>
  <c r="AE21" i="3"/>
  <c r="AK21" i="3"/>
  <c r="AM21" i="3"/>
  <c r="C22" i="3"/>
  <c r="F22" i="3"/>
  <c r="B28" i="4"/>
  <c r="AP22" i="3"/>
  <c r="AZ22" i="3"/>
  <c r="AS22" i="3"/>
  <c r="AY22" i="3"/>
  <c r="D22" i="3"/>
  <c r="E22" i="3"/>
  <c r="B23" i="3"/>
  <c r="C19" i="5"/>
  <c r="A22" i="3"/>
  <c r="G28" i="4"/>
  <c r="I28" i="4"/>
  <c r="H28" i="4"/>
  <c r="F28" i="4"/>
  <c r="E28" i="4"/>
  <c r="D28" i="4"/>
  <c r="E18" i="5"/>
  <c r="AP18" i="5"/>
  <c r="E19" i="5"/>
  <c r="AP19" i="5"/>
  <c r="AX23" i="3"/>
  <c r="C28" i="4"/>
  <c r="BA22" i="3"/>
  <c r="C23" i="3"/>
  <c r="F23" i="3"/>
  <c r="B29" i="4"/>
  <c r="B24" i="3"/>
  <c r="D23" i="3"/>
  <c r="AP23" i="3"/>
  <c r="AZ23" i="3"/>
  <c r="AS23" i="3"/>
  <c r="AY23" i="3"/>
  <c r="AB22" i="3"/>
  <c r="AD22" i="3"/>
  <c r="AL22" i="3"/>
  <c r="AJ22" i="3"/>
  <c r="AE22" i="3"/>
  <c r="AM22" i="3"/>
  <c r="AH22" i="3"/>
  <c r="AK22" i="3"/>
  <c r="AF22" i="3"/>
  <c r="A23" i="3"/>
  <c r="G29" i="4"/>
  <c r="I29" i="4"/>
  <c r="H29" i="4"/>
  <c r="F29" i="4"/>
  <c r="E29" i="4"/>
  <c r="D29" i="4"/>
  <c r="C20" i="5"/>
  <c r="AX24" i="3"/>
  <c r="BB24" i="3"/>
  <c r="C29" i="4"/>
  <c r="BA23" i="3"/>
  <c r="E23" i="3"/>
  <c r="D24" i="3"/>
  <c r="E24" i="3"/>
  <c r="AP24" i="3"/>
  <c r="AZ24" i="3"/>
  <c r="AS24" i="3"/>
  <c r="AY24" i="3"/>
  <c r="C24" i="3"/>
  <c r="B25" i="3"/>
  <c r="C21" i="5"/>
  <c r="F24" i="3"/>
  <c r="B30" i="4"/>
  <c r="AB23" i="3"/>
  <c r="AD23" i="3"/>
  <c r="AL23" i="3"/>
  <c r="AF23" i="3"/>
  <c r="AH23" i="3"/>
  <c r="AJ23" i="3"/>
  <c r="AE23" i="3"/>
  <c r="AM23" i="3"/>
  <c r="AK23" i="3"/>
  <c r="A24" i="3"/>
  <c r="G30" i="4"/>
  <c r="F30" i="4"/>
  <c r="E30" i="4"/>
  <c r="I30" i="4"/>
  <c r="H30" i="4"/>
  <c r="D30" i="4"/>
  <c r="AP20" i="5"/>
  <c r="E20" i="5"/>
  <c r="AP21" i="5"/>
  <c r="E21" i="5"/>
  <c r="AX25" i="3"/>
  <c r="BB25" i="3"/>
  <c r="C30" i="4"/>
  <c r="BA24" i="3"/>
  <c r="C25" i="3"/>
  <c r="F25" i="3"/>
  <c r="B31" i="4"/>
  <c r="B26" i="3"/>
  <c r="D25" i="3"/>
  <c r="E25" i="3"/>
  <c r="AP25" i="3"/>
  <c r="AZ25" i="3"/>
  <c r="AS25" i="3"/>
  <c r="AY25" i="3"/>
  <c r="AB24" i="3"/>
  <c r="AD24" i="3"/>
  <c r="AE24" i="3"/>
  <c r="AM24" i="3"/>
  <c r="AH24" i="3"/>
  <c r="AL24" i="3"/>
  <c r="AK24" i="3"/>
  <c r="AF24" i="3"/>
  <c r="AJ24" i="3"/>
  <c r="A25" i="3"/>
  <c r="G31" i="4"/>
  <c r="H31" i="4"/>
  <c r="F31" i="4"/>
  <c r="E31" i="4"/>
  <c r="D31" i="4"/>
  <c r="I31" i="4"/>
  <c r="C22" i="5"/>
  <c r="AX26" i="3"/>
  <c r="BB26" i="3"/>
  <c r="BB23" i="3"/>
  <c r="C31" i="4"/>
  <c r="BA25" i="3"/>
  <c r="D26" i="3"/>
  <c r="E26" i="3"/>
  <c r="B27" i="3"/>
  <c r="C26" i="3"/>
  <c r="AP26" i="3"/>
  <c r="AZ26" i="3"/>
  <c r="AS26" i="3"/>
  <c r="AY26" i="3"/>
  <c r="F26" i="3"/>
  <c r="B32" i="4"/>
  <c r="AB25" i="3"/>
  <c r="AD25" i="3"/>
  <c r="AL25" i="3"/>
  <c r="AF25" i="3"/>
  <c r="AH25" i="3"/>
  <c r="AJ25" i="3"/>
  <c r="AM25" i="3"/>
  <c r="AK25" i="3"/>
  <c r="AE25" i="3"/>
  <c r="A26" i="3"/>
  <c r="G32" i="4"/>
  <c r="I32" i="4"/>
  <c r="H32" i="4"/>
  <c r="F32" i="4"/>
  <c r="E32" i="4"/>
  <c r="D32" i="4"/>
  <c r="C23" i="5"/>
  <c r="E22" i="5"/>
  <c r="AP22" i="5"/>
  <c r="AX27" i="3"/>
  <c r="BB27" i="3"/>
  <c r="C32" i="4"/>
  <c r="BA26" i="3"/>
  <c r="AL26" i="3"/>
  <c r="AB26" i="3"/>
  <c r="AD26" i="3"/>
  <c r="AF26" i="3"/>
  <c r="AE26" i="3"/>
  <c r="AM26" i="3"/>
  <c r="AH26" i="3"/>
  <c r="AK26" i="3"/>
  <c r="AJ26" i="3"/>
  <c r="D27" i="3"/>
  <c r="AP27" i="3"/>
  <c r="AZ27" i="3"/>
  <c r="AS27" i="3"/>
  <c r="AY27" i="3"/>
  <c r="C27" i="3"/>
  <c r="B28" i="3"/>
  <c r="F27" i="3"/>
  <c r="B33" i="4"/>
  <c r="A27" i="3"/>
  <c r="G33" i="4"/>
  <c r="I33" i="4"/>
  <c r="H33" i="4"/>
  <c r="F33" i="4"/>
  <c r="E33" i="4"/>
  <c r="D33" i="4"/>
  <c r="C24" i="5"/>
  <c r="AP23" i="5"/>
  <c r="E23" i="5"/>
  <c r="AX28" i="3"/>
  <c r="BB28" i="3"/>
  <c r="C33" i="4"/>
  <c r="BA27" i="3"/>
  <c r="E27" i="3"/>
  <c r="C28" i="3"/>
  <c r="F28" i="3"/>
  <c r="B34" i="4"/>
  <c r="B29" i="3"/>
  <c r="D28" i="3"/>
  <c r="E28" i="3"/>
  <c r="AP28" i="3"/>
  <c r="AZ28" i="3"/>
  <c r="AS28" i="3"/>
  <c r="AY28" i="3"/>
  <c r="AF27" i="3"/>
  <c r="AH27" i="3"/>
  <c r="AJ27" i="3"/>
  <c r="AL27" i="3"/>
  <c r="AB27" i="3"/>
  <c r="AD27" i="3"/>
  <c r="AK27" i="3"/>
  <c r="AE27" i="3"/>
  <c r="AM27" i="3"/>
  <c r="A28" i="3"/>
  <c r="G34" i="4"/>
  <c r="D34" i="4"/>
  <c r="I34" i="4"/>
  <c r="H34" i="4"/>
  <c r="F34" i="4"/>
  <c r="E34" i="4"/>
  <c r="C25" i="5"/>
  <c r="AP24" i="5"/>
  <c r="E24" i="5"/>
  <c r="AX29" i="3"/>
  <c r="BB29" i="3"/>
  <c r="C34" i="4"/>
  <c r="BA28" i="3"/>
  <c r="D29" i="3"/>
  <c r="B30" i="3"/>
  <c r="C29" i="3"/>
  <c r="AP29" i="3"/>
  <c r="AZ29" i="3"/>
  <c r="F29" i="3"/>
  <c r="B35" i="4"/>
  <c r="AS29" i="3"/>
  <c r="AY29" i="3"/>
  <c r="AM28" i="3"/>
  <c r="AE28" i="3"/>
  <c r="AH28" i="3"/>
  <c r="AB28" i="3"/>
  <c r="AF28" i="3"/>
  <c r="AJ28" i="3"/>
  <c r="AK28" i="3"/>
  <c r="AD28" i="3"/>
  <c r="AL28" i="3"/>
  <c r="A29" i="3"/>
  <c r="G35" i="4"/>
  <c r="E35" i="4"/>
  <c r="D35" i="4"/>
  <c r="I35" i="4"/>
  <c r="H35" i="4"/>
  <c r="F35" i="4"/>
  <c r="C26" i="5"/>
  <c r="AP25" i="5"/>
  <c r="E25" i="5"/>
  <c r="AX30" i="3"/>
  <c r="BB30" i="3"/>
  <c r="C35" i="4"/>
  <c r="BA29" i="3"/>
  <c r="E29" i="3"/>
  <c r="AD29" i="3"/>
  <c r="AH29" i="3"/>
  <c r="AL29" i="3"/>
  <c r="AM29" i="3"/>
  <c r="AB29" i="3"/>
  <c r="AF29" i="3"/>
  <c r="AJ29" i="3"/>
  <c r="AE29" i="3"/>
  <c r="AK29" i="3"/>
  <c r="D30" i="3"/>
  <c r="B31" i="3"/>
  <c r="C30" i="3"/>
  <c r="AP30" i="3"/>
  <c r="AZ30" i="3"/>
  <c r="F30" i="3"/>
  <c r="B36" i="4"/>
  <c r="AS30" i="3"/>
  <c r="AY30" i="3"/>
  <c r="A30" i="3"/>
  <c r="G36" i="4"/>
  <c r="F36" i="4"/>
  <c r="E36" i="4"/>
  <c r="D36" i="4"/>
  <c r="I36" i="4"/>
  <c r="H36" i="4"/>
  <c r="C27" i="5"/>
  <c r="E26" i="5"/>
  <c r="AP26" i="5"/>
  <c r="AX31" i="3"/>
  <c r="BB31" i="3"/>
  <c r="C36" i="4"/>
  <c r="BA30" i="3"/>
  <c r="E30" i="3"/>
  <c r="D31" i="3"/>
  <c r="B32" i="3"/>
  <c r="C31" i="3"/>
  <c r="AP31" i="3"/>
  <c r="AZ31" i="3"/>
  <c r="F31" i="3"/>
  <c r="B37" i="4"/>
  <c r="AS31" i="3"/>
  <c r="AY31" i="3"/>
  <c r="AB30" i="3"/>
  <c r="AF30" i="3"/>
  <c r="AJ30" i="3"/>
  <c r="AE30" i="3"/>
  <c r="AK30" i="3"/>
  <c r="AD30" i="3"/>
  <c r="AH30" i="3"/>
  <c r="AL30" i="3"/>
  <c r="AM30" i="3"/>
  <c r="A31" i="3"/>
  <c r="G37" i="4"/>
  <c r="H37" i="4"/>
  <c r="F37" i="4"/>
  <c r="E37" i="4"/>
  <c r="D37" i="4"/>
  <c r="I37" i="4"/>
  <c r="C28" i="5"/>
  <c r="E27" i="5"/>
  <c r="AP27" i="5"/>
  <c r="AX32" i="3"/>
  <c r="BB32" i="3"/>
  <c r="C37" i="4"/>
  <c r="BA31" i="3"/>
  <c r="E31" i="3"/>
  <c r="AD31" i="3"/>
  <c r="AH31" i="3"/>
  <c r="AL31" i="3"/>
  <c r="AM31" i="3"/>
  <c r="AB31" i="3"/>
  <c r="AF31" i="3"/>
  <c r="AJ31" i="3"/>
  <c r="AE31" i="3"/>
  <c r="AK31" i="3"/>
  <c r="D32" i="3"/>
  <c r="B33" i="3"/>
  <c r="C32" i="3"/>
  <c r="AP32" i="3"/>
  <c r="AZ32" i="3"/>
  <c r="F32" i="3"/>
  <c r="B38" i="4"/>
  <c r="AS32" i="3"/>
  <c r="AY32" i="3"/>
  <c r="A32" i="3"/>
  <c r="G38" i="4"/>
  <c r="I38" i="4"/>
  <c r="H38" i="4"/>
  <c r="F38" i="4"/>
  <c r="E38" i="4"/>
  <c r="D38" i="4"/>
  <c r="C29" i="5"/>
  <c r="AP28" i="5"/>
  <c r="E28" i="5"/>
  <c r="AX33" i="3"/>
  <c r="BB33" i="3"/>
  <c r="C38" i="4"/>
  <c r="BA32" i="3"/>
  <c r="E32" i="3"/>
  <c r="D33" i="3"/>
  <c r="B34" i="3"/>
  <c r="C33" i="3"/>
  <c r="AP33" i="3"/>
  <c r="AZ33" i="3"/>
  <c r="F33" i="3"/>
  <c r="B39" i="4"/>
  <c r="AS33" i="3"/>
  <c r="AY33" i="3"/>
  <c r="AB32" i="3"/>
  <c r="AF32" i="3"/>
  <c r="AJ32" i="3"/>
  <c r="AE32" i="3"/>
  <c r="AK32" i="3"/>
  <c r="AD32" i="3"/>
  <c r="AH32" i="3"/>
  <c r="AL32" i="3"/>
  <c r="AM32" i="3"/>
  <c r="A33" i="3"/>
  <c r="G39" i="4"/>
  <c r="I39" i="4"/>
  <c r="H39" i="4"/>
  <c r="F39" i="4"/>
  <c r="E39" i="4"/>
  <c r="D39" i="4"/>
  <c r="AP29" i="5"/>
  <c r="E29" i="5"/>
  <c r="C30" i="5"/>
  <c r="AX34" i="3"/>
  <c r="BB34" i="3"/>
  <c r="C39" i="4"/>
  <c r="BA33" i="3"/>
  <c r="E33" i="3"/>
  <c r="AD33" i="3"/>
  <c r="AH33" i="3"/>
  <c r="AL33" i="3"/>
  <c r="AM33" i="3"/>
  <c r="AB33" i="3"/>
  <c r="AF33" i="3"/>
  <c r="AJ33" i="3"/>
  <c r="AE33" i="3"/>
  <c r="AK33" i="3"/>
  <c r="D34" i="3"/>
  <c r="E34" i="3"/>
  <c r="B35" i="3"/>
  <c r="C34" i="3"/>
  <c r="AP34" i="3"/>
  <c r="AZ34" i="3"/>
  <c r="F34" i="3"/>
  <c r="B40" i="4"/>
  <c r="AS34" i="3"/>
  <c r="AY34" i="3"/>
  <c r="A34" i="3"/>
  <c r="G40" i="4"/>
  <c r="I40" i="4"/>
  <c r="H40" i="4"/>
  <c r="F40" i="4"/>
  <c r="E40" i="4"/>
  <c r="D40" i="4"/>
  <c r="C31" i="5"/>
  <c r="E30" i="5"/>
  <c r="AP30" i="5"/>
  <c r="AX35" i="3"/>
  <c r="BB35" i="3"/>
  <c r="C40" i="4"/>
  <c r="BA34" i="3"/>
  <c r="D35" i="3"/>
  <c r="B36" i="3"/>
  <c r="F35" i="3"/>
  <c r="B41" i="4"/>
  <c r="C35" i="3"/>
  <c r="AP35" i="3"/>
  <c r="AZ35" i="3"/>
  <c r="AS35" i="3"/>
  <c r="AY35" i="3"/>
  <c r="AB34" i="3"/>
  <c r="AF34" i="3"/>
  <c r="AJ34" i="3"/>
  <c r="AE34" i="3"/>
  <c r="AK34" i="3"/>
  <c r="AD34" i="3"/>
  <c r="AH34" i="3"/>
  <c r="AL34" i="3"/>
  <c r="AM34" i="3"/>
  <c r="A35" i="3"/>
  <c r="G41" i="4"/>
  <c r="I41" i="4"/>
  <c r="H41" i="4"/>
  <c r="F41" i="4"/>
  <c r="E41" i="4"/>
  <c r="D41" i="4"/>
  <c r="C32" i="5"/>
  <c r="AP31" i="5"/>
  <c r="E31" i="5"/>
  <c r="AX36" i="3"/>
  <c r="BB36" i="3"/>
  <c r="C41" i="4"/>
  <c r="BA35" i="3"/>
  <c r="E35" i="3"/>
  <c r="AD35" i="3"/>
  <c r="AH35" i="3"/>
  <c r="AL35" i="3"/>
  <c r="AM35" i="3"/>
  <c r="AB35" i="3"/>
  <c r="AF35" i="3"/>
  <c r="AJ35" i="3"/>
  <c r="AE35" i="3"/>
  <c r="AK35" i="3"/>
  <c r="D36" i="3"/>
  <c r="E36" i="3"/>
  <c r="B37" i="3"/>
  <c r="F36" i="3"/>
  <c r="B42" i="4"/>
  <c r="AS36" i="3"/>
  <c r="AY36" i="3"/>
  <c r="C36" i="3"/>
  <c r="AP36" i="3"/>
  <c r="AZ36" i="3"/>
  <c r="A36" i="3"/>
  <c r="G42" i="4"/>
  <c r="D42" i="4"/>
  <c r="I42" i="4"/>
  <c r="H42" i="4"/>
  <c r="F42" i="4"/>
  <c r="E42" i="4"/>
  <c r="E32" i="5"/>
  <c r="AP32" i="5"/>
  <c r="C33" i="5"/>
  <c r="AX37" i="3"/>
  <c r="BB37" i="3"/>
  <c r="C42" i="4"/>
  <c r="BA36" i="3"/>
  <c r="D37" i="3"/>
  <c r="E37" i="3"/>
  <c r="B38" i="3"/>
  <c r="B8" i="17"/>
  <c r="C37" i="3"/>
  <c r="F37" i="3"/>
  <c r="B43" i="4"/>
  <c r="AS37" i="3"/>
  <c r="AY37" i="3"/>
  <c r="AP37" i="3"/>
  <c r="AZ37" i="3"/>
  <c r="AB36" i="3"/>
  <c r="AF36" i="3"/>
  <c r="AJ36" i="3"/>
  <c r="AE36" i="3"/>
  <c r="AK36" i="3"/>
  <c r="AD36" i="3"/>
  <c r="AH36" i="3"/>
  <c r="AL36" i="3"/>
  <c r="AM36" i="3"/>
  <c r="A37" i="3"/>
  <c r="E4" i="17"/>
  <c r="D8" i="17"/>
  <c r="C8" i="17"/>
  <c r="F8" i="17"/>
  <c r="A8" i="17"/>
  <c r="AX8" i="17"/>
  <c r="BB8" i="17"/>
  <c r="AS8" i="17"/>
  <c r="AY8" i="17"/>
  <c r="AP8" i="17"/>
  <c r="AZ8" i="17"/>
  <c r="B9" i="17"/>
  <c r="K42" i="3"/>
  <c r="G43" i="4"/>
  <c r="E43" i="4"/>
  <c r="D43" i="4"/>
  <c r="I43" i="4"/>
  <c r="H43" i="4"/>
  <c r="F43" i="4"/>
  <c r="C34" i="5"/>
  <c r="AP33" i="5"/>
  <c r="E33" i="5"/>
  <c r="AX38" i="3"/>
  <c r="BB38" i="3"/>
  <c r="C43" i="4"/>
  <c r="BA37" i="3"/>
  <c r="A38" i="3"/>
  <c r="AD37" i="3"/>
  <c r="AH37" i="3"/>
  <c r="AL37" i="3"/>
  <c r="AM37" i="3"/>
  <c r="AB37" i="3"/>
  <c r="AF37" i="3"/>
  <c r="AJ37" i="3"/>
  <c r="AE37" i="3"/>
  <c r="AK37" i="3"/>
  <c r="D38" i="3"/>
  <c r="AP38" i="3"/>
  <c r="AS38" i="3"/>
  <c r="F38" i="3"/>
  <c r="B44" i="4"/>
  <c r="C38" i="3"/>
  <c r="BA8" i="17"/>
  <c r="AF8" i="17"/>
  <c r="AB8" i="17"/>
  <c r="AJ8" i="17"/>
  <c r="AK8" i="17"/>
  <c r="AE8" i="17"/>
  <c r="AM8" i="17"/>
  <c r="AH8" i="17"/>
  <c r="AD8" i="17"/>
  <c r="AL8" i="17"/>
  <c r="A9" i="17"/>
  <c r="C9" i="17"/>
  <c r="F9" i="17"/>
  <c r="D9" i="17"/>
  <c r="AP9" i="17"/>
  <c r="AZ9" i="17"/>
  <c r="BB9" i="17"/>
  <c r="AS9" i="17"/>
  <c r="AY9" i="17"/>
  <c r="AX9" i="17"/>
  <c r="B10" i="17"/>
  <c r="E8" i="17"/>
  <c r="F5" i="5"/>
  <c r="AT5" i="5"/>
  <c r="F4" i="5"/>
  <c r="AT4" i="5"/>
  <c r="G44" i="4"/>
  <c r="G45" i="4"/>
  <c r="E44" i="4"/>
  <c r="E45" i="4"/>
  <c r="D44" i="4"/>
  <c r="I44" i="4"/>
  <c r="B66" i="4"/>
  <c r="AP34" i="5"/>
  <c r="E34" i="5"/>
  <c r="C44" i="4"/>
  <c r="AY38" i="3"/>
  <c r="AZ38" i="3"/>
  <c r="E38" i="3"/>
  <c r="AE38" i="3"/>
  <c r="AE40" i="3"/>
  <c r="AE41" i="3"/>
  <c r="AE39" i="17"/>
  <c r="AM38" i="3"/>
  <c r="AM40" i="3"/>
  <c r="AM41" i="3"/>
  <c r="AM39" i="17"/>
  <c r="AL38" i="3"/>
  <c r="AL40" i="3"/>
  <c r="AL41" i="3"/>
  <c r="AL39" i="17"/>
  <c r="AK38" i="3"/>
  <c r="AK40" i="3"/>
  <c r="AK41" i="3"/>
  <c r="AK39" i="17"/>
  <c r="AF38" i="3"/>
  <c r="AF40" i="3"/>
  <c r="AF41" i="3"/>
  <c r="AF39" i="17"/>
  <c r="AJ38" i="3"/>
  <c r="AJ40" i="3"/>
  <c r="AJ41" i="3"/>
  <c r="AJ39" i="17"/>
  <c r="AD38" i="3"/>
  <c r="AD40" i="3"/>
  <c r="AD41" i="3"/>
  <c r="AD39" i="17"/>
  <c r="AH38" i="3"/>
  <c r="AH40" i="3"/>
  <c r="AH41" i="3"/>
  <c r="AH39" i="17"/>
  <c r="AB38" i="3"/>
  <c r="AB40" i="3"/>
  <c r="BA9" i="17"/>
  <c r="E9" i="17"/>
  <c r="F10" i="17"/>
  <c r="C10" i="17"/>
  <c r="A10" i="17"/>
  <c r="D10" i="17"/>
  <c r="AX10" i="17"/>
  <c r="AP10" i="17"/>
  <c r="AZ10" i="17"/>
  <c r="BB10" i="17"/>
  <c r="AS10" i="17"/>
  <c r="AY10" i="17"/>
  <c r="B11" i="17"/>
  <c r="AH9" i="17"/>
  <c r="AK9" i="17"/>
  <c r="AF9" i="17"/>
  <c r="AB9" i="17"/>
  <c r="AJ9" i="17"/>
  <c r="AD9" i="17"/>
  <c r="AL9" i="17"/>
  <c r="AE9" i="17"/>
  <c r="AM9" i="17"/>
  <c r="H5" i="5"/>
  <c r="F6" i="5"/>
  <c r="AT6" i="5"/>
  <c r="H4" i="5"/>
  <c r="H44" i="4"/>
  <c r="H45" i="4" s="1"/>
  <c r="E66" i="4"/>
  <c r="D66" i="4"/>
  <c r="I66" i="4"/>
  <c r="F66" i="4"/>
  <c r="G66" i="4"/>
  <c r="H66" i="4"/>
  <c r="F44" i="4"/>
  <c r="F45" i="4" s="1"/>
  <c r="B67" i="4"/>
  <c r="K40" i="3"/>
  <c r="AB41" i="3"/>
  <c r="AB39" i="17"/>
  <c r="D60" i="4"/>
  <c r="C66" i="4"/>
  <c r="BA38" i="3"/>
  <c r="E10" i="17"/>
  <c r="A11" i="17"/>
  <c r="C11" i="17"/>
  <c r="F11" i="17"/>
  <c r="D11" i="17"/>
  <c r="BB11" i="17"/>
  <c r="AS11" i="17"/>
  <c r="AY11" i="17"/>
  <c r="AX11" i="17"/>
  <c r="AP11" i="17"/>
  <c r="AZ11" i="17"/>
  <c r="B12" i="17"/>
  <c r="AF10" i="17"/>
  <c r="AH10" i="17"/>
  <c r="AB10" i="17"/>
  <c r="AJ10" i="17"/>
  <c r="AK10" i="17"/>
  <c r="AM10" i="17"/>
  <c r="AE10" i="17"/>
  <c r="AD10" i="17"/>
  <c r="AL10" i="17"/>
  <c r="BA10" i="17"/>
  <c r="K39" i="17"/>
  <c r="B69" i="4"/>
  <c r="F7" i="5"/>
  <c r="F8" i="5"/>
  <c r="H6" i="5"/>
  <c r="F67" i="4"/>
  <c r="G67" i="4"/>
  <c r="H67" i="4"/>
  <c r="E67" i="4"/>
  <c r="I67" i="4"/>
  <c r="D67" i="4"/>
  <c r="B68" i="4"/>
  <c r="K41" i="3"/>
  <c r="C67" i="4"/>
  <c r="BA11" i="17"/>
  <c r="A12" i="17"/>
  <c r="C12" i="17"/>
  <c r="D12" i="17"/>
  <c r="F12" i="17"/>
  <c r="AP12" i="17"/>
  <c r="AZ12" i="17"/>
  <c r="AX12" i="17"/>
  <c r="BB12" i="17"/>
  <c r="AS12" i="17"/>
  <c r="AY12" i="17"/>
  <c r="B13" i="17"/>
  <c r="AE11" i="17"/>
  <c r="AM11" i="17"/>
  <c r="AK11" i="17"/>
  <c r="AL11" i="17"/>
  <c r="AF11" i="17"/>
  <c r="AD11" i="17"/>
  <c r="AH11" i="17"/>
  <c r="AB11" i="17"/>
  <c r="AJ11" i="17"/>
  <c r="E11" i="17"/>
  <c r="H7" i="5"/>
  <c r="AT7" i="5"/>
  <c r="G68" i="4"/>
  <c r="H68" i="4"/>
  <c r="I68" i="4"/>
  <c r="D68" i="4"/>
  <c r="F68" i="4"/>
  <c r="E68" i="4"/>
  <c r="H69" i="4"/>
  <c r="I69" i="4"/>
  <c r="D69" i="4"/>
  <c r="G69" i="4"/>
  <c r="E69" i="4"/>
  <c r="F69" i="4"/>
  <c r="F9" i="5"/>
  <c r="AT8" i="5"/>
  <c r="H8" i="5"/>
  <c r="C68" i="4"/>
  <c r="BA12" i="17"/>
  <c r="C13" i="17"/>
  <c r="A13" i="17"/>
  <c r="D13" i="17"/>
  <c r="F13" i="17"/>
  <c r="B71" i="4"/>
  <c r="AX13" i="17"/>
  <c r="AP13" i="17"/>
  <c r="AZ13" i="17"/>
  <c r="BB13" i="17"/>
  <c r="AS13" i="17"/>
  <c r="AY13" i="17"/>
  <c r="B14" i="17"/>
  <c r="E12" i="17"/>
  <c r="AF12" i="17"/>
  <c r="AH12" i="17"/>
  <c r="AB12" i="17"/>
  <c r="AJ12" i="17"/>
  <c r="AK12" i="17"/>
  <c r="AE12" i="17"/>
  <c r="AD12" i="17"/>
  <c r="AL12" i="17"/>
  <c r="AM12" i="17"/>
  <c r="F10" i="5"/>
  <c r="AT9" i="5"/>
  <c r="H9" i="5"/>
  <c r="B70" i="4"/>
  <c r="C69" i="4"/>
  <c r="E13" i="17"/>
  <c r="C14" i="17"/>
  <c r="A14" i="17"/>
  <c r="D14" i="17"/>
  <c r="F14" i="17"/>
  <c r="AX14" i="17"/>
  <c r="BB14" i="17"/>
  <c r="AS14" i="17"/>
  <c r="AY14" i="17"/>
  <c r="AP14" i="17"/>
  <c r="AZ14" i="17"/>
  <c r="B15" i="17"/>
  <c r="AE13" i="17"/>
  <c r="AM13" i="17"/>
  <c r="AF13" i="17"/>
  <c r="AH13" i="17"/>
  <c r="AB13" i="17"/>
  <c r="AJ13" i="17"/>
  <c r="AK13" i="17"/>
  <c r="AD13" i="17"/>
  <c r="AL13" i="17"/>
  <c r="BA13" i="17"/>
  <c r="D71" i="4"/>
  <c r="E71" i="4"/>
  <c r="F71" i="4"/>
  <c r="G71" i="4"/>
  <c r="H71" i="4"/>
  <c r="I71" i="4"/>
  <c r="I70" i="4"/>
  <c r="F70" i="4"/>
  <c r="D70" i="4"/>
  <c r="E70" i="4"/>
  <c r="H70" i="4"/>
  <c r="G70" i="4"/>
  <c r="F11" i="5"/>
  <c r="AT10" i="5"/>
  <c r="H10" i="5"/>
  <c r="C70" i="4"/>
  <c r="BA14" i="17"/>
  <c r="D15" i="17"/>
  <c r="F15" i="17"/>
  <c r="B73" i="4"/>
  <c r="C15" i="17"/>
  <c r="A15" i="17"/>
  <c r="BB15" i="17"/>
  <c r="AP15" i="17"/>
  <c r="AZ15" i="17"/>
  <c r="AX15" i="17"/>
  <c r="AS15" i="17"/>
  <c r="AY15" i="17"/>
  <c r="B16" i="17"/>
  <c r="E14" i="17"/>
  <c r="AE14" i="17"/>
  <c r="AM14" i="17"/>
  <c r="AK14" i="17"/>
  <c r="AD14" i="17"/>
  <c r="AF14" i="17"/>
  <c r="AL14" i="17"/>
  <c r="AH14" i="17"/>
  <c r="AB14" i="17"/>
  <c r="AJ14" i="17"/>
  <c r="F12" i="5"/>
  <c r="AT11" i="5"/>
  <c r="H11" i="5"/>
  <c r="B72" i="4"/>
  <c r="C71" i="4"/>
  <c r="BA15" i="17"/>
  <c r="A16" i="17"/>
  <c r="D16" i="17"/>
  <c r="F16" i="17"/>
  <c r="C16" i="17"/>
  <c r="AP16" i="17"/>
  <c r="AZ16" i="17"/>
  <c r="BB16" i="17"/>
  <c r="AS16" i="17"/>
  <c r="AY16" i="17"/>
  <c r="AX16" i="17"/>
  <c r="B17" i="17"/>
  <c r="AE15" i="17"/>
  <c r="AM15" i="17"/>
  <c r="AF15" i="17"/>
  <c r="AH15" i="17"/>
  <c r="AK15" i="17"/>
  <c r="AL15" i="17"/>
  <c r="AD15" i="17"/>
  <c r="AB15" i="17"/>
  <c r="AJ15" i="17"/>
  <c r="E15" i="17"/>
  <c r="G73" i="4"/>
  <c r="H73" i="4"/>
  <c r="I73" i="4"/>
  <c r="F73" i="4"/>
  <c r="D73" i="4"/>
  <c r="E73" i="4"/>
  <c r="E72" i="4"/>
  <c r="F72" i="4"/>
  <c r="G72" i="4"/>
  <c r="I72" i="4"/>
  <c r="H72" i="4"/>
  <c r="D72" i="4"/>
  <c r="F13" i="5"/>
  <c r="AT12" i="5"/>
  <c r="H12" i="5"/>
  <c r="B74" i="4"/>
  <c r="C72" i="4"/>
  <c r="BA16" i="17"/>
  <c r="AF16" i="17"/>
  <c r="AL16" i="17"/>
  <c r="AH16" i="17"/>
  <c r="AB16" i="17"/>
  <c r="AJ16" i="17"/>
  <c r="AM16" i="17"/>
  <c r="AK16" i="17"/>
  <c r="AE16" i="17"/>
  <c r="AD16" i="17"/>
  <c r="F17" i="17"/>
  <c r="B75" i="4"/>
  <c r="C17" i="17"/>
  <c r="A17" i="17"/>
  <c r="D17" i="17"/>
  <c r="AX17" i="17"/>
  <c r="AP17" i="17"/>
  <c r="AZ17" i="17"/>
  <c r="BB17" i="17"/>
  <c r="AS17" i="17"/>
  <c r="AY17" i="17"/>
  <c r="B18" i="17"/>
  <c r="E16" i="17"/>
  <c r="I74" i="4"/>
  <c r="D74" i="4"/>
  <c r="F74" i="4"/>
  <c r="E74" i="4"/>
  <c r="H74" i="4"/>
  <c r="G74" i="4"/>
  <c r="F14" i="5"/>
  <c r="AT13" i="5"/>
  <c r="H13" i="5"/>
  <c r="C73" i="4"/>
  <c r="BA17" i="17"/>
  <c r="A18" i="17"/>
  <c r="C18" i="17"/>
  <c r="F18" i="17"/>
  <c r="D18" i="17"/>
  <c r="AS18" i="17"/>
  <c r="AY18" i="17"/>
  <c r="BB18" i="17"/>
  <c r="AP18" i="17"/>
  <c r="AZ18" i="17"/>
  <c r="AX18" i="17"/>
  <c r="B19" i="17"/>
  <c r="AF17" i="17"/>
  <c r="AH17" i="17"/>
  <c r="AB17" i="17"/>
  <c r="AJ17" i="17"/>
  <c r="AK17" i="17"/>
  <c r="AL17" i="17"/>
  <c r="AE17" i="17"/>
  <c r="AM17" i="17"/>
  <c r="AD17" i="17"/>
  <c r="E17" i="17"/>
  <c r="B76" i="4"/>
  <c r="D75" i="4"/>
  <c r="E75" i="4"/>
  <c r="F75" i="4"/>
  <c r="G75" i="4"/>
  <c r="H75" i="4"/>
  <c r="I75" i="4"/>
  <c r="F15" i="5"/>
  <c r="AT14" i="5"/>
  <c r="H14" i="5"/>
  <c r="C74" i="4"/>
  <c r="BA18" i="17"/>
  <c r="E18" i="17"/>
  <c r="C19" i="17"/>
  <c r="A19" i="17"/>
  <c r="F19" i="17"/>
  <c r="D19" i="17"/>
  <c r="AX19" i="17"/>
  <c r="AP19" i="17"/>
  <c r="AZ19" i="17"/>
  <c r="BB19" i="17"/>
  <c r="AS19" i="17"/>
  <c r="AY19" i="17"/>
  <c r="B20" i="17"/>
  <c r="AE18" i="17"/>
  <c r="AM18" i="17"/>
  <c r="AF18" i="17"/>
  <c r="AK18" i="17"/>
  <c r="AD18" i="17"/>
  <c r="AH18" i="17"/>
  <c r="AL18" i="17"/>
  <c r="AB18" i="17"/>
  <c r="AJ18" i="17"/>
  <c r="B77" i="4"/>
  <c r="E76" i="4"/>
  <c r="F76" i="4"/>
  <c r="G76" i="4"/>
  <c r="I76" i="4"/>
  <c r="H76" i="4"/>
  <c r="D76" i="4"/>
  <c r="F16" i="5"/>
  <c r="AT15" i="5"/>
  <c r="H15" i="5"/>
  <c r="C75" i="4"/>
  <c r="BA19" i="17"/>
  <c r="A20" i="17"/>
  <c r="D20" i="17"/>
  <c r="F20" i="17"/>
  <c r="B78" i="4"/>
  <c r="C20" i="17"/>
  <c r="AP20" i="17"/>
  <c r="AZ20" i="17"/>
  <c r="AX20" i="17"/>
  <c r="AS20" i="17"/>
  <c r="AY20" i="17"/>
  <c r="BB20" i="17"/>
  <c r="B21" i="17"/>
  <c r="AF19" i="17"/>
  <c r="AH19" i="17"/>
  <c r="AJ19" i="17"/>
  <c r="AK19" i="17"/>
  <c r="AL19" i="17"/>
  <c r="AE19" i="17"/>
  <c r="AM19" i="17"/>
  <c r="AB19" i="17"/>
  <c r="AD19" i="17"/>
  <c r="E19" i="17"/>
  <c r="G77" i="4"/>
  <c r="H77" i="4"/>
  <c r="I77" i="4"/>
  <c r="D77" i="4"/>
  <c r="F77" i="4"/>
  <c r="E77" i="4"/>
  <c r="F17" i="5"/>
  <c r="AT16" i="5"/>
  <c r="H16" i="5"/>
  <c r="C76" i="4"/>
  <c r="BA20" i="17"/>
  <c r="AF20" i="17"/>
  <c r="AB20" i="17"/>
  <c r="AH20" i="17"/>
  <c r="AJ20" i="17"/>
  <c r="AK20" i="17"/>
  <c r="AM20" i="17"/>
  <c r="AD20" i="17"/>
  <c r="AL20" i="17"/>
  <c r="AE20" i="17"/>
  <c r="A21" i="17"/>
  <c r="D21" i="17"/>
  <c r="F21" i="17"/>
  <c r="B79" i="4"/>
  <c r="C21" i="17"/>
  <c r="AP21" i="17"/>
  <c r="AZ21" i="17"/>
  <c r="BB21" i="17"/>
  <c r="AX21" i="17"/>
  <c r="AS21" i="17"/>
  <c r="AY21" i="17"/>
  <c r="B22" i="17"/>
  <c r="E20" i="17"/>
  <c r="H78" i="4"/>
  <c r="I78" i="4"/>
  <c r="D78" i="4"/>
  <c r="E78" i="4"/>
  <c r="G78" i="4"/>
  <c r="F78" i="4"/>
  <c r="F18" i="5"/>
  <c r="AT17" i="5"/>
  <c r="H17" i="5"/>
  <c r="C77" i="4"/>
  <c r="BA21" i="17"/>
  <c r="AF21" i="17"/>
  <c r="AH21" i="17"/>
  <c r="AB21" i="17"/>
  <c r="AJ21" i="17"/>
  <c r="AM21" i="17"/>
  <c r="AK21" i="17"/>
  <c r="AE21" i="17"/>
  <c r="AD21" i="17"/>
  <c r="AL21" i="17"/>
  <c r="C22" i="17"/>
  <c r="A22" i="17"/>
  <c r="D22" i="17"/>
  <c r="F22" i="17"/>
  <c r="AX22" i="17"/>
  <c r="BB22" i="17"/>
  <c r="AP22" i="17"/>
  <c r="AZ22" i="17"/>
  <c r="AS22" i="17"/>
  <c r="AY22" i="17"/>
  <c r="B23" i="17"/>
  <c r="E21" i="17"/>
  <c r="B80" i="4"/>
  <c r="I79" i="4"/>
  <c r="D79" i="4"/>
  <c r="E79" i="4"/>
  <c r="F79" i="4"/>
  <c r="H79" i="4"/>
  <c r="G79" i="4"/>
  <c r="F19" i="5"/>
  <c r="AT18" i="5"/>
  <c r="H18" i="5"/>
  <c r="C78" i="4"/>
  <c r="BA22" i="17"/>
  <c r="F23" i="17"/>
  <c r="B81" i="4"/>
  <c r="A23" i="17"/>
  <c r="C23" i="17"/>
  <c r="D23" i="17"/>
  <c r="BB23" i="17"/>
  <c r="AP23" i="17"/>
  <c r="AZ23" i="17"/>
  <c r="AX23" i="17"/>
  <c r="AS23" i="17"/>
  <c r="AY23" i="17"/>
  <c r="B24" i="17"/>
  <c r="E22" i="17"/>
  <c r="AF22" i="17"/>
  <c r="AD22" i="17"/>
  <c r="AH22" i="17"/>
  <c r="AM22" i="17"/>
  <c r="AL22" i="17"/>
  <c r="AB22" i="17"/>
  <c r="AJ22" i="17"/>
  <c r="AK22" i="17"/>
  <c r="AE22" i="17"/>
  <c r="D80" i="4"/>
  <c r="G80" i="4"/>
  <c r="E80" i="4"/>
  <c r="F80" i="4"/>
  <c r="I80" i="4"/>
  <c r="H80" i="4"/>
  <c r="F20" i="5"/>
  <c r="AT19" i="5"/>
  <c r="H19" i="5"/>
  <c r="C79" i="4"/>
  <c r="BA23" i="17"/>
  <c r="E23" i="17"/>
  <c r="A24" i="17"/>
  <c r="C24" i="17"/>
  <c r="D24" i="17"/>
  <c r="F24" i="17"/>
  <c r="AX24" i="17"/>
  <c r="AP24" i="17"/>
  <c r="AZ24" i="17"/>
  <c r="BA24" i="17"/>
  <c r="AS24" i="17"/>
  <c r="AY24" i="17"/>
  <c r="BB24" i="17"/>
  <c r="B25" i="17"/>
  <c r="AE23" i="17"/>
  <c r="AM23" i="17"/>
  <c r="AD23" i="17"/>
  <c r="AF23" i="17"/>
  <c r="AH23" i="17"/>
  <c r="AB23" i="17"/>
  <c r="AJ23" i="17"/>
  <c r="AK23" i="17"/>
  <c r="AL23" i="17"/>
  <c r="D81" i="4"/>
  <c r="E81" i="4"/>
  <c r="G81" i="4"/>
  <c r="F81" i="4"/>
  <c r="H81" i="4"/>
  <c r="I81" i="4"/>
  <c r="F21" i="5"/>
  <c r="AT20" i="5"/>
  <c r="H20" i="5"/>
  <c r="B82" i="4"/>
  <c r="C80" i="4"/>
  <c r="C25" i="17"/>
  <c r="A25" i="17"/>
  <c r="D25" i="17"/>
  <c r="F25" i="17"/>
  <c r="AS25" i="17"/>
  <c r="AY25" i="17"/>
  <c r="AP25" i="17"/>
  <c r="AZ25" i="17"/>
  <c r="AX25" i="17"/>
  <c r="BB25" i="17"/>
  <c r="B26" i="17"/>
  <c r="E24" i="17"/>
  <c r="AF24" i="17"/>
  <c r="AK24" i="17"/>
  <c r="AB24" i="17"/>
  <c r="AM24" i="17"/>
  <c r="AH24" i="17"/>
  <c r="AL24" i="17"/>
  <c r="AJ24" i="17"/>
  <c r="AE24" i="17"/>
  <c r="AD24" i="17"/>
  <c r="D82" i="4"/>
  <c r="E82" i="4"/>
  <c r="F82" i="4"/>
  <c r="G82" i="4"/>
  <c r="H82" i="4"/>
  <c r="I82" i="4"/>
  <c r="F22" i="5"/>
  <c r="AT21" i="5"/>
  <c r="H21" i="5"/>
  <c r="B83" i="4"/>
  <c r="C81" i="4"/>
  <c r="BA25" i="17"/>
  <c r="D26" i="17"/>
  <c r="F26" i="17"/>
  <c r="B84" i="4"/>
  <c r="A26" i="17"/>
  <c r="C26" i="17"/>
  <c r="AX26" i="17"/>
  <c r="AS26" i="17"/>
  <c r="AY26" i="17"/>
  <c r="AP26" i="17"/>
  <c r="AZ26" i="17"/>
  <c r="BA26" i="17"/>
  <c r="BB26" i="17"/>
  <c r="B27" i="17"/>
  <c r="E25" i="17"/>
  <c r="AF25" i="17"/>
  <c r="AM25" i="17"/>
  <c r="AH25" i="17"/>
  <c r="AB25" i="17"/>
  <c r="AJ25" i="17"/>
  <c r="AE25" i="17"/>
  <c r="AK25" i="17"/>
  <c r="AD25" i="17"/>
  <c r="AL25" i="17"/>
  <c r="E83" i="4"/>
  <c r="F83" i="4"/>
  <c r="G83" i="4"/>
  <c r="H83" i="4"/>
  <c r="I83" i="4"/>
  <c r="D83" i="4"/>
  <c r="F23" i="5"/>
  <c r="AT22" i="5"/>
  <c r="H22" i="5"/>
  <c r="C82" i="4"/>
  <c r="AE26" i="17"/>
  <c r="AM26" i="17"/>
  <c r="AD26" i="17"/>
  <c r="AF26" i="17"/>
  <c r="AK26" i="17"/>
  <c r="AH26" i="17"/>
  <c r="AL26" i="17"/>
  <c r="AB26" i="17"/>
  <c r="AJ26" i="17"/>
  <c r="A27" i="17"/>
  <c r="D27" i="17"/>
  <c r="F27" i="17"/>
  <c r="C27" i="17"/>
  <c r="AX27" i="17"/>
  <c r="AP27" i="17"/>
  <c r="AZ27" i="17"/>
  <c r="BB27" i="17"/>
  <c r="AS27" i="17"/>
  <c r="AY27" i="17"/>
  <c r="B28" i="17"/>
  <c r="E26" i="17"/>
  <c r="B85" i="4"/>
  <c r="F84" i="4"/>
  <c r="G84" i="4"/>
  <c r="H84" i="4"/>
  <c r="E84" i="4"/>
  <c r="I84" i="4"/>
  <c r="D84" i="4"/>
  <c r="F24" i="5"/>
  <c r="AT23" i="5"/>
  <c r="H23" i="5"/>
  <c r="C83" i="4"/>
  <c r="AE27" i="17"/>
  <c r="AM27" i="17"/>
  <c r="AF27" i="17"/>
  <c r="AH27" i="17"/>
  <c r="AB27" i="17"/>
  <c r="AJ27" i="17"/>
  <c r="AK27" i="17"/>
  <c r="AD27" i="17"/>
  <c r="AL27" i="17"/>
  <c r="A28" i="17"/>
  <c r="C28" i="17"/>
  <c r="D28" i="17"/>
  <c r="F28" i="17"/>
  <c r="AX28" i="17"/>
  <c r="AP28" i="17"/>
  <c r="AZ28" i="17"/>
  <c r="AS28" i="17"/>
  <c r="AY28" i="17"/>
  <c r="BB28" i="17"/>
  <c r="B29" i="17"/>
  <c r="E27" i="17"/>
  <c r="BA27" i="17"/>
  <c r="B86" i="4"/>
  <c r="G85" i="4"/>
  <c r="H85" i="4"/>
  <c r="I85" i="4"/>
  <c r="D85" i="4"/>
  <c r="F85" i="4"/>
  <c r="E85" i="4"/>
  <c r="F25" i="5"/>
  <c r="AT24" i="5"/>
  <c r="H24" i="5"/>
  <c r="C84" i="4"/>
  <c r="BA28" i="17"/>
  <c r="E28" i="17"/>
  <c r="A29" i="17"/>
  <c r="D29" i="17"/>
  <c r="F29" i="17"/>
  <c r="C29" i="17"/>
  <c r="AP29" i="17"/>
  <c r="AZ29" i="17"/>
  <c r="AX29" i="17"/>
  <c r="BB29" i="17"/>
  <c r="AS29" i="17"/>
  <c r="AY29" i="17"/>
  <c r="B30" i="17"/>
  <c r="AF28" i="17"/>
  <c r="AB28" i="17"/>
  <c r="AJ28" i="17"/>
  <c r="AH28" i="17"/>
  <c r="AE28" i="17"/>
  <c r="AD28" i="17"/>
  <c r="AK28" i="17"/>
  <c r="AL28" i="17"/>
  <c r="AM28" i="17"/>
  <c r="B87" i="4"/>
  <c r="H86" i="4"/>
  <c r="I86" i="4"/>
  <c r="G86" i="4"/>
  <c r="D86" i="4"/>
  <c r="E86" i="4"/>
  <c r="F86" i="4"/>
  <c r="F26" i="5"/>
  <c r="AT25" i="5"/>
  <c r="H25" i="5"/>
  <c r="C85" i="4"/>
  <c r="BA29" i="17"/>
  <c r="A30" i="17"/>
  <c r="F30" i="17"/>
  <c r="D30" i="17"/>
  <c r="C30" i="17"/>
  <c r="AP30" i="17"/>
  <c r="AZ30" i="17"/>
  <c r="AX30" i="17"/>
  <c r="AS30" i="17"/>
  <c r="AY30" i="17"/>
  <c r="BB30" i="17"/>
  <c r="B31" i="17"/>
  <c r="E29" i="17"/>
  <c r="AF29" i="17"/>
  <c r="AD29" i="17"/>
  <c r="AH29" i="17"/>
  <c r="AB29" i="17"/>
  <c r="AJ29" i="17"/>
  <c r="AK29" i="17"/>
  <c r="AL29" i="17"/>
  <c r="AE29" i="17"/>
  <c r="AM29" i="17"/>
  <c r="I87" i="4"/>
  <c r="E87" i="4"/>
  <c r="F87" i="4"/>
  <c r="D87" i="4"/>
  <c r="H87" i="4"/>
  <c r="G87" i="4"/>
  <c r="F27" i="5"/>
  <c r="H26" i="5"/>
  <c r="AT26" i="5"/>
  <c r="B88" i="4"/>
  <c r="C86" i="4"/>
  <c r="BA30" i="17"/>
  <c r="AE30" i="17"/>
  <c r="AM30" i="17"/>
  <c r="AF30" i="17"/>
  <c r="AL30" i="17"/>
  <c r="AH30" i="17"/>
  <c r="AK30" i="17"/>
  <c r="AD30" i="17"/>
  <c r="AB30" i="17"/>
  <c r="AJ30" i="17"/>
  <c r="C31" i="17"/>
  <c r="A31" i="17"/>
  <c r="D31" i="17"/>
  <c r="F31" i="17"/>
  <c r="AX31" i="17"/>
  <c r="AS31" i="17"/>
  <c r="AY31" i="17"/>
  <c r="AP31" i="17"/>
  <c r="AZ31" i="17"/>
  <c r="BA31" i="17"/>
  <c r="BB31" i="17"/>
  <c r="B32" i="17"/>
  <c r="E30" i="17"/>
  <c r="B89" i="4"/>
  <c r="D88" i="4"/>
  <c r="E88" i="4"/>
  <c r="F88" i="4"/>
  <c r="G88" i="4"/>
  <c r="I88" i="4"/>
  <c r="H88" i="4"/>
  <c r="F28" i="5"/>
  <c r="AT27" i="5"/>
  <c r="H27" i="5"/>
  <c r="C87" i="4"/>
  <c r="C32" i="17"/>
  <c r="A32" i="17"/>
  <c r="F32" i="17"/>
  <c r="D32" i="17"/>
  <c r="AP32" i="17"/>
  <c r="AZ32" i="17"/>
  <c r="AX32" i="17"/>
  <c r="AS32" i="17"/>
  <c r="AY32" i="17"/>
  <c r="BB32" i="17"/>
  <c r="B33" i="17"/>
  <c r="E31" i="17"/>
  <c r="AE31" i="17"/>
  <c r="AM31" i="17"/>
  <c r="AD31" i="17"/>
  <c r="AF31" i="17"/>
  <c r="AH31" i="17"/>
  <c r="AL31" i="17"/>
  <c r="AB31" i="17"/>
  <c r="AJ31" i="17"/>
  <c r="AK31" i="17"/>
  <c r="B90" i="4"/>
  <c r="D89" i="4"/>
  <c r="E89" i="4"/>
  <c r="F89" i="4"/>
  <c r="H89" i="4"/>
  <c r="G89" i="4"/>
  <c r="I89" i="4"/>
  <c r="F29" i="5"/>
  <c r="AT28" i="5"/>
  <c r="H28" i="5"/>
  <c r="C88" i="4"/>
  <c r="BA32" i="17"/>
  <c r="E32" i="17"/>
  <c r="C33" i="17"/>
  <c r="F33" i="17"/>
  <c r="A33" i="17"/>
  <c r="D33" i="17"/>
  <c r="AX33" i="17"/>
  <c r="AP33" i="17"/>
  <c r="AZ33" i="17"/>
  <c r="BB33" i="17"/>
  <c r="AS33" i="17"/>
  <c r="AY33" i="17"/>
  <c r="B34" i="17"/>
  <c r="AF32" i="17"/>
  <c r="AH32" i="17"/>
  <c r="AL32" i="17"/>
  <c r="AK32" i="17"/>
  <c r="AD32" i="17"/>
  <c r="AB32" i="17"/>
  <c r="AJ32" i="17"/>
  <c r="AE32" i="17"/>
  <c r="AM32" i="17"/>
  <c r="B91" i="4"/>
  <c r="E90" i="4"/>
  <c r="D90" i="4"/>
  <c r="F90" i="4"/>
  <c r="G90" i="4"/>
  <c r="H90" i="4"/>
  <c r="I90" i="4"/>
  <c r="F30" i="5"/>
  <c r="AT29" i="5"/>
  <c r="H29" i="5"/>
  <c r="C89" i="4"/>
  <c r="E33" i="17"/>
  <c r="F34" i="17"/>
  <c r="A34" i="17"/>
  <c r="D34" i="17"/>
  <c r="C34" i="17"/>
  <c r="AX34" i="17"/>
  <c r="AP34" i="17"/>
  <c r="AZ34" i="17"/>
  <c r="BB34" i="17"/>
  <c r="AS34" i="17"/>
  <c r="AY34" i="17"/>
  <c r="B35" i="17"/>
  <c r="AF33" i="17"/>
  <c r="AH33" i="17"/>
  <c r="AK33" i="17"/>
  <c r="AD33" i="17"/>
  <c r="AL33" i="17"/>
  <c r="AM33" i="17"/>
  <c r="AB33" i="17"/>
  <c r="AJ33" i="17"/>
  <c r="AE33" i="17"/>
  <c r="BA33" i="17"/>
  <c r="B92" i="4"/>
  <c r="E91" i="4"/>
  <c r="F91" i="4"/>
  <c r="G91" i="4"/>
  <c r="H91" i="4"/>
  <c r="D91" i="4"/>
  <c r="I91" i="4"/>
  <c r="F31" i="5"/>
  <c r="AT30" i="5"/>
  <c r="H30" i="5"/>
  <c r="C90" i="4"/>
  <c r="BA34" i="17"/>
  <c r="AE34" i="17"/>
  <c r="AM34" i="17"/>
  <c r="AF34" i="17"/>
  <c r="AH34" i="17"/>
  <c r="AJ34" i="17"/>
  <c r="AK34" i="17"/>
  <c r="AD34" i="17"/>
  <c r="AL34" i="17"/>
  <c r="AB34" i="17"/>
  <c r="C35" i="17"/>
  <c r="A35" i="17"/>
  <c r="F35" i="17"/>
  <c r="D35" i="17"/>
  <c r="AX35" i="17"/>
  <c r="AP35" i="17"/>
  <c r="AZ35" i="17"/>
  <c r="BB35" i="17"/>
  <c r="AS35" i="17"/>
  <c r="AY35" i="17"/>
  <c r="B36" i="17"/>
  <c r="E34" i="17"/>
  <c r="G92" i="4"/>
  <c r="H92" i="4"/>
  <c r="I92" i="4"/>
  <c r="E92" i="4"/>
  <c r="F92" i="4"/>
  <c r="D92" i="4"/>
  <c r="F32" i="5"/>
  <c r="AT31" i="5"/>
  <c r="H31" i="5"/>
  <c r="B93" i="4"/>
  <c r="C91" i="4"/>
  <c r="BA35" i="17"/>
  <c r="E35" i="17"/>
  <c r="AP36" i="17"/>
  <c r="AX36" i="17"/>
  <c r="F36" i="17"/>
  <c r="B94" i="4"/>
  <c r="AW36" i="17"/>
  <c r="A36" i="17"/>
  <c r="AZ36" i="17"/>
  <c r="K42" i="17"/>
  <c r="T36" i="17"/>
  <c r="AS36" i="17"/>
  <c r="AY36" i="17"/>
  <c r="BA36" i="17"/>
  <c r="BB36" i="17"/>
  <c r="D36" i="17"/>
  <c r="E36" i="17"/>
  <c r="V36" i="17"/>
  <c r="W36" i="17" s="1"/>
  <c r="C36" i="17"/>
  <c r="U36" i="17"/>
  <c r="BF36" i="17"/>
  <c r="K43" i="17"/>
  <c r="Q5" i="1"/>
  <c r="BE36" i="17"/>
  <c r="AV36" i="17"/>
  <c r="Z36" i="17"/>
  <c r="AF35" i="17"/>
  <c r="AK35" i="17"/>
  <c r="AL35" i="17"/>
  <c r="AH35" i="17"/>
  <c r="AD35" i="17"/>
  <c r="AE35" i="17"/>
  <c r="AJ35" i="17"/>
  <c r="AB35" i="17"/>
  <c r="AM35" i="17"/>
  <c r="B8" i="7"/>
  <c r="H93" i="4"/>
  <c r="I93" i="4"/>
  <c r="F93" i="4"/>
  <c r="D93" i="4"/>
  <c r="G93" i="4"/>
  <c r="E93" i="4"/>
  <c r="AT32" i="5"/>
  <c r="AW32" i="5"/>
  <c r="H32" i="5"/>
  <c r="C92" i="4"/>
  <c r="AB36" i="17"/>
  <c r="AB40" i="17"/>
  <c r="AE36" i="17"/>
  <c r="AE40" i="17"/>
  <c r="AE41" i="17"/>
  <c r="AE39" i="7"/>
  <c r="AM36" i="17"/>
  <c r="AM40" i="17"/>
  <c r="AM41" i="17"/>
  <c r="AM39" i="7"/>
  <c r="AK36" i="17"/>
  <c r="AK40" i="17"/>
  <c r="AK41" i="17"/>
  <c r="AK39" i="7"/>
  <c r="AD36" i="17"/>
  <c r="AD40" i="17"/>
  <c r="AD41" i="17"/>
  <c r="AD39" i="7"/>
  <c r="AJ36" i="17"/>
  <c r="AJ40" i="17"/>
  <c r="AJ41" i="17"/>
  <c r="AJ39" i="7"/>
  <c r="AL36" i="17"/>
  <c r="AL40" i="17"/>
  <c r="AL41" i="17"/>
  <c r="AL39" i="7"/>
  <c r="AF36" i="17"/>
  <c r="AF40" i="17"/>
  <c r="AF41" i="17"/>
  <c r="AF39" i="7"/>
  <c r="AH36" i="17"/>
  <c r="AH40" i="17"/>
  <c r="AH41" i="17"/>
  <c r="AH39" i="7"/>
  <c r="E4" i="7"/>
  <c r="BB8" i="7"/>
  <c r="A8" i="7"/>
  <c r="B9" i="7"/>
  <c r="AS8" i="7"/>
  <c r="AY8" i="7"/>
  <c r="F8" i="7"/>
  <c r="B118" i="4"/>
  <c r="AX8" i="7"/>
  <c r="D8" i="7"/>
  <c r="AP8" i="7"/>
  <c r="AZ8" i="7"/>
  <c r="C8" i="7"/>
  <c r="I4" i="5"/>
  <c r="K4" i="5"/>
  <c r="J94" i="4"/>
  <c r="I94" i="4"/>
  <c r="H94" i="4"/>
  <c r="G94" i="4"/>
  <c r="E94" i="4"/>
  <c r="D94" i="4"/>
  <c r="F94" i="4"/>
  <c r="F97" i="4" s="1"/>
  <c r="C93" i="4"/>
  <c r="BA8" i="7"/>
  <c r="K40" i="17"/>
  <c r="AB41" i="17"/>
  <c r="F118" i="4"/>
  <c r="H118" i="4"/>
  <c r="D118" i="4"/>
  <c r="AF8" i="7"/>
  <c r="AK8" i="7"/>
  <c r="AH8" i="7"/>
  <c r="AM8" i="7"/>
  <c r="AJ8" i="7"/>
  <c r="AB8" i="7"/>
  <c r="AL8" i="7"/>
  <c r="AD8" i="7"/>
  <c r="AE8" i="7"/>
  <c r="E8" i="7"/>
  <c r="BB9" i="7"/>
  <c r="A9" i="7"/>
  <c r="F9" i="7"/>
  <c r="B119" i="4"/>
  <c r="G119" i="4"/>
  <c r="B10" i="7"/>
  <c r="AS9" i="7"/>
  <c r="AY9" i="7"/>
  <c r="AX9" i="7"/>
  <c r="C9" i="7"/>
  <c r="AP9" i="7"/>
  <c r="AZ9" i="7"/>
  <c r="D9" i="7"/>
  <c r="I5" i="5"/>
  <c r="AX5" i="5"/>
  <c r="I118" i="4"/>
  <c r="G118" i="4"/>
  <c r="E118" i="4"/>
  <c r="C94" i="4"/>
  <c r="E97" i="4"/>
  <c r="AX4" i="5"/>
  <c r="K5" i="5"/>
  <c r="K41" i="17"/>
  <c r="AB39" i="7"/>
  <c r="K39" i="7"/>
  <c r="E119" i="4"/>
  <c r="D119" i="4"/>
  <c r="I119" i="4"/>
  <c r="F119" i="4"/>
  <c r="H119" i="4"/>
  <c r="BA9" i="7"/>
  <c r="AX10" i="7"/>
  <c r="B11" i="7"/>
  <c r="BB10" i="7"/>
  <c r="D10" i="7"/>
  <c r="A10" i="7"/>
  <c r="F10" i="7"/>
  <c r="B120" i="4"/>
  <c r="E120" i="4"/>
  <c r="C10" i="7"/>
  <c r="AP10" i="7"/>
  <c r="AZ10" i="7"/>
  <c r="AS10" i="7"/>
  <c r="AY10" i="7"/>
  <c r="I6" i="5"/>
  <c r="E9" i="7"/>
  <c r="AE9" i="7"/>
  <c r="AF9" i="7"/>
  <c r="AK9" i="7"/>
  <c r="AH9" i="7"/>
  <c r="AM9" i="7"/>
  <c r="AJ9" i="7"/>
  <c r="AB9" i="7"/>
  <c r="AL9" i="7"/>
  <c r="AD9" i="7"/>
  <c r="D120" i="4"/>
  <c r="H97" i="4"/>
  <c r="G97" i="4"/>
  <c r="D112" i="4"/>
  <c r="C118" i="4"/>
  <c r="G120" i="4"/>
  <c r="I120" i="4"/>
  <c r="H120" i="4"/>
  <c r="BA10" i="7"/>
  <c r="F120" i="4"/>
  <c r="AX6" i="5"/>
  <c r="K6" i="5"/>
  <c r="AL10" i="7"/>
  <c r="AD10" i="7"/>
  <c r="AE10" i="7"/>
  <c r="AF10" i="7"/>
  <c r="AK10" i="7"/>
  <c r="AH10" i="7"/>
  <c r="AM10" i="7"/>
  <c r="AJ10" i="7"/>
  <c r="AB10" i="7"/>
  <c r="E10" i="7"/>
  <c r="C11" i="7"/>
  <c r="AP11" i="7"/>
  <c r="AZ11" i="7"/>
  <c r="AS11" i="7"/>
  <c r="AY11" i="7"/>
  <c r="AX11" i="7"/>
  <c r="B12" i="7"/>
  <c r="BB11" i="7"/>
  <c r="D11" i="7"/>
  <c r="A11" i="7"/>
  <c r="F11" i="7"/>
  <c r="B121" i="4"/>
  <c r="I121" i="4"/>
  <c r="I7" i="5"/>
  <c r="C119" i="4"/>
  <c r="D121" i="4"/>
  <c r="F121" i="4"/>
  <c r="G121" i="4"/>
  <c r="BA11" i="7"/>
  <c r="AX7" i="5"/>
  <c r="K7" i="5"/>
  <c r="E11" i="7"/>
  <c r="AX12" i="7"/>
  <c r="B13" i="7"/>
  <c r="AP12" i="7"/>
  <c r="AZ12" i="7"/>
  <c r="BB12" i="7"/>
  <c r="A12" i="7"/>
  <c r="F12" i="7"/>
  <c r="B122" i="4"/>
  <c r="E122" i="4"/>
  <c r="C12" i="7"/>
  <c r="AS12" i="7"/>
  <c r="AY12" i="7"/>
  <c r="D12" i="7"/>
  <c r="I8" i="5"/>
  <c r="AM11" i="7"/>
  <c r="AJ11" i="7"/>
  <c r="AB11" i="7"/>
  <c r="AD11" i="7"/>
  <c r="AH11" i="7"/>
  <c r="AE11" i="7"/>
  <c r="AF11" i="7"/>
  <c r="AL11" i="7"/>
  <c r="AK11" i="7"/>
  <c r="H121" i="4"/>
  <c r="E121" i="4"/>
  <c r="I9" i="5"/>
  <c r="K9" i="5"/>
  <c r="D122" i="4"/>
  <c r="I122" i="4"/>
  <c r="C120" i="4"/>
  <c r="F122" i="4"/>
  <c r="G122" i="4"/>
  <c r="H122" i="4"/>
  <c r="BA12" i="7"/>
  <c r="AX8" i="5"/>
  <c r="K8" i="5"/>
  <c r="E12" i="7"/>
  <c r="AJ12" i="7"/>
  <c r="AB12" i="7"/>
  <c r="AL12" i="7"/>
  <c r="AD12" i="7"/>
  <c r="AE12" i="7"/>
  <c r="AF12" i="7"/>
  <c r="AK12" i="7"/>
  <c r="AH12" i="7"/>
  <c r="AM12" i="7"/>
  <c r="AP13" i="7"/>
  <c r="AZ13" i="7"/>
  <c r="AS13" i="7"/>
  <c r="AY13" i="7"/>
  <c r="AX13" i="7"/>
  <c r="B14" i="7"/>
  <c r="BB13" i="7"/>
  <c r="A13" i="7"/>
  <c r="D13" i="7"/>
  <c r="C13" i="7"/>
  <c r="F13" i="7"/>
  <c r="B123" i="4"/>
  <c r="I123" i="4"/>
  <c r="AX9" i="5"/>
  <c r="E123" i="4"/>
  <c r="C121" i="4"/>
  <c r="D123" i="4"/>
  <c r="BA13" i="7"/>
  <c r="G123" i="4"/>
  <c r="F123" i="4"/>
  <c r="H123" i="4"/>
  <c r="AE13" i="7"/>
  <c r="AD13" i="7"/>
  <c r="AM13" i="7"/>
  <c r="AF13" i="7"/>
  <c r="AJ13" i="7"/>
  <c r="AH13" i="7"/>
  <c r="AL13" i="7"/>
  <c r="AK13" i="7"/>
  <c r="AB13" i="7"/>
  <c r="B15" i="7"/>
  <c r="D14" i="7"/>
  <c r="F14" i="7"/>
  <c r="B124" i="4"/>
  <c r="E124" i="4"/>
  <c r="A14" i="7"/>
  <c r="AP14" i="7"/>
  <c r="AZ14" i="7"/>
  <c r="C14" i="7"/>
  <c r="AX14" i="7"/>
  <c r="F124" i="4"/>
  <c r="AS14" i="7"/>
  <c r="AY14" i="7"/>
  <c r="BB14" i="7"/>
  <c r="I10" i="5"/>
  <c r="E13" i="7"/>
  <c r="C123" i="4"/>
  <c r="C122" i="4"/>
  <c r="H124" i="4"/>
  <c r="D124" i="4"/>
  <c r="BA14" i="7"/>
  <c r="K10" i="5"/>
  <c r="AX10" i="5"/>
  <c r="AP15" i="7"/>
  <c r="AZ15" i="7"/>
  <c r="B16" i="7"/>
  <c r="AX15" i="7"/>
  <c r="C15" i="7"/>
  <c r="BB15" i="7"/>
  <c r="D15" i="7"/>
  <c r="A15" i="7"/>
  <c r="F15" i="7"/>
  <c r="B125" i="4"/>
  <c r="D125" i="4"/>
  <c r="AS15" i="7"/>
  <c r="AY15" i="7"/>
  <c r="I11" i="5"/>
  <c r="I124" i="4"/>
  <c r="G124" i="4"/>
  <c r="AL14" i="7"/>
  <c r="AH14" i="7"/>
  <c r="AE14" i="7"/>
  <c r="AJ14" i="7"/>
  <c r="AK14" i="7"/>
  <c r="AB14" i="7"/>
  <c r="AM14" i="7"/>
  <c r="AD14" i="7"/>
  <c r="AF14" i="7"/>
  <c r="E14" i="7"/>
  <c r="E125" i="4"/>
  <c r="I125" i="4"/>
  <c r="H125" i="4"/>
  <c r="BA15" i="7"/>
  <c r="E15" i="7"/>
  <c r="AF15" i="7"/>
  <c r="AE15" i="7"/>
  <c r="AH15" i="7"/>
  <c r="AM15" i="7"/>
  <c r="AJ15" i="7"/>
  <c r="AB15" i="7"/>
  <c r="AL15" i="7"/>
  <c r="AD15" i="7"/>
  <c r="AK15" i="7"/>
  <c r="B17" i="7"/>
  <c r="D16" i="7"/>
  <c r="F16" i="7"/>
  <c r="B126" i="4"/>
  <c r="E126" i="4"/>
  <c r="A16" i="7"/>
  <c r="AP16" i="7"/>
  <c r="AZ16" i="7"/>
  <c r="C16" i="7"/>
  <c r="AX16" i="7"/>
  <c r="AS16" i="7"/>
  <c r="AY16" i="7"/>
  <c r="BB16" i="7"/>
  <c r="I12" i="5"/>
  <c r="F125" i="4"/>
  <c r="G125" i="4"/>
  <c r="AX11" i="5"/>
  <c r="K11" i="5"/>
  <c r="G126" i="4"/>
  <c r="C124" i="4"/>
  <c r="C125" i="4"/>
  <c r="I126" i="4"/>
  <c r="BA16" i="7"/>
  <c r="K12" i="5"/>
  <c r="AX12" i="5"/>
  <c r="AX17" i="7"/>
  <c r="B18" i="7"/>
  <c r="BB17" i="7"/>
  <c r="D17" i="7"/>
  <c r="AS17" i="7"/>
  <c r="AY17" i="7"/>
  <c r="F17" i="7"/>
  <c r="B127" i="4"/>
  <c r="E127" i="4"/>
  <c r="A17" i="7"/>
  <c r="AP17" i="7"/>
  <c r="AZ17" i="7"/>
  <c r="C17" i="7"/>
  <c r="I13" i="5"/>
  <c r="H126" i="4"/>
  <c r="F126" i="4"/>
  <c r="D126" i="4"/>
  <c r="AE16" i="7"/>
  <c r="AJ16" i="7"/>
  <c r="AK16" i="7"/>
  <c r="AB16" i="7"/>
  <c r="AM16" i="7"/>
  <c r="AD16" i="7"/>
  <c r="AF16" i="7"/>
  <c r="AL16" i="7"/>
  <c r="AH16" i="7"/>
  <c r="E16" i="7"/>
  <c r="I127" i="4"/>
  <c r="D127" i="4"/>
  <c r="C126" i="4"/>
  <c r="BA17" i="7"/>
  <c r="F127" i="4"/>
  <c r="E17" i="7"/>
  <c r="C18" i="7"/>
  <c r="AX18" i="7"/>
  <c r="AS18" i="7"/>
  <c r="AY18" i="7"/>
  <c r="BB18" i="7"/>
  <c r="B19" i="7"/>
  <c r="D18" i="7"/>
  <c r="F18" i="7"/>
  <c r="B128" i="4"/>
  <c r="H128" i="4"/>
  <c r="A18" i="7"/>
  <c r="AP18" i="7"/>
  <c r="AZ18" i="7"/>
  <c r="I14" i="5"/>
  <c r="H127" i="4"/>
  <c r="G127" i="4"/>
  <c r="AX13" i="5"/>
  <c r="K13" i="5"/>
  <c r="AJ17" i="7"/>
  <c r="AB17" i="7"/>
  <c r="AM17" i="7"/>
  <c r="AH17" i="7"/>
  <c r="AK17" i="7"/>
  <c r="AF17" i="7"/>
  <c r="AE17" i="7"/>
  <c r="AL17" i="7"/>
  <c r="AD17" i="7"/>
  <c r="C127" i="4"/>
  <c r="BA18" i="7"/>
  <c r="F128" i="4"/>
  <c r="D128" i="4"/>
  <c r="K14" i="5"/>
  <c r="AX14" i="5"/>
  <c r="AP19" i="7"/>
  <c r="AZ19" i="7"/>
  <c r="B20" i="7"/>
  <c r="F19" i="7"/>
  <c r="B129" i="4"/>
  <c r="I129" i="4"/>
  <c r="AX19" i="7"/>
  <c r="BB19" i="7"/>
  <c r="D19" i="7"/>
  <c r="A19" i="7"/>
  <c r="C19" i="7"/>
  <c r="AS19" i="7"/>
  <c r="AY19" i="7"/>
  <c r="I15" i="5"/>
  <c r="AL18" i="7"/>
  <c r="AH18" i="7"/>
  <c r="AE18" i="7"/>
  <c r="AJ18" i="7"/>
  <c r="AK18" i="7"/>
  <c r="AB18" i="7"/>
  <c r="AM18" i="7"/>
  <c r="AD18" i="7"/>
  <c r="AF18" i="7"/>
  <c r="E128" i="4"/>
  <c r="I128" i="4"/>
  <c r="G128" i="4"/>
  <c r="E18" i="7"/>
  <c r="G129" i="4"/>
  <c r="E129" i="4"/>
  <c r="C128" i="4"/>
  <c r="H129" i="4"/>
  <c r="BA19" i="7"/>
  <c r="AX15" i="5"/>
  <c r="K15" i="5"/>
  <c r="F129" i="4"/>
  <c r="D129" i="4"/>
  <c r="AF19" i="7"/>
  <c r="AE19" i="7"/>
  <c r="AH19" i="7"/>
  <c r="AM19" i="7"/>
  <c r="AJ19" i="7"/>
  <c r="AB19" i="7"/>
  <c r="AL19" i="7"/>
  <c r="AD19" i="7"/>
  <c r="AK19" i="7"/>
  <c r="E19" i="7"/>
  <c r="C20" i="7"/>
  <c r="AX20" i="7"/>
  <c r="AS20" i="7"/>
  <c r="AY20" i="7"/>
  <c r="BB20" i="7"/>
  <c r="B21" i="7"/>
  <c r="D20" i="7"/>
  <c r="F20" i="7"/>
  <c r="B130" i="4"/>
  <c r="I130" i="4"/>
  <c r="A20" i="7"/>
  <c r="AP20" i="7"/>
  <c r="AZ20" i="7"/>
  <c r="I16" i="5"/>
  <c r="C129" i="4"/>
  <c r="H130" i="4"/>
  <c r="D130" i="4"/>
  <c r="F130" i="4"/>
  <c r="BA20" i="7"/>
  <c r="K16" i="5"/>
  <c r="AX16" i="5"/>
  <c r="BB21" i="7"/>
  <c r="D21" i="7"/>
  <c r="A21" i="7"/>
  <c r="F21" i="7"/>
  <c r="B131" i="4"/>
  <c r="E131" i="4"/>
  <c r="AS21" i="7"/>
  <c r="AY21" i="7"/>
  <c r="AP21" i="7"/>
  <c r="AZ21" i="7"/>
  <c r="B22" i="7"/>
  <c r="AX21" i="7"/>
  <c r="C21" i="7"/>
  <c r="I17" i="5"/>
  <c r="AL20" i="7"/>
  <c r="AH20" i="7"/>
  <c r="AE20" i="7"/>
  <c r="AJ20" i="7"/>
  <c r="AK20" i="7"/>
  <c r="AB20" i="7"/>
  <c r="AM20" i="7"/>
  <c r="AD20" i="7"/>
  <c r="AF20" i="7"/>
  <c r="G130" i="4"/>
  <c r="E130" i="4"/>
  <c r="E20" i="7"/>
  <c r="G131" i="4"/>
  <c r="C130" i="4"/>
  <c r="I131" i="4"/>
  <c r="D131" i="4"/>
  <c r="BA21" i="7"/>
  <c r="E21" i="7"/>
  <c r="H131" i="4"/>
  <c r="F131" i="4"/>
  <c r="K17" i="5"/>
  <c r="AX17" i="5"/>
  <c r="AF21" i="7"/>
  <c r="AE21" i="7"/>
  <c r="AH21" i="7"/>
  <c r="AM21" i="7"/>
  <c r="AJ21" i="7"/>
  <c r="AB21" i="7"/>
  <c r="AL21" i="7"/>
  <c r="AD21" i="7"/>
  <c r="AK21" i="7"/>
  <c r="B23" i="7"/>
  <c r="D22" i="7"/>
  <c r="F22" i="7"/>
  <c r="B132" i="4"/>
  <c r="G132" i="4"/>
  <c r="A22" i="7"/>
  <c r="AP22" i="7"/>
  <c r="AZ22" i="7"/>
  <c r="C22" i="7"/>
  <c r="AX22" i="7"/>
  <c r="AS22" i="7"/>
  <c r="AY22" i="7"/>
  <c r="BB22" i="7"/>
  <c r="I18" i="5"/>
  <c r="C131" i="4"/>
  <c r="I132" i="4"/>
  <c r="D132" i="4"/>
  <c r="E132" i="4"/>
  <c r="BA22" i="7"/>
  <c r="F132" i="4"/>
  <c r="H132" i="4"/>
  <c r="AH22" i="7"/>
  <c r="AE22" i="7"/>
  <c r="AJ22" i="7"/>
  <c r="AL22" i="7"/>
  <c r="AK22" i="7"/>
  <c r="AM22" i="7"/>
  <c r="AD22" i="7"/>
  <c r="AF22" i="7"/>
  <c r="AB22" i="7"/>
  <c r="E22" i="7"/>
  <c r="K18" i="5"/>
  <c r="AX18" i="5"/>
  <c r="A23" i="7"/>
  <c r="F23" i="7"/>
  <c r="B133" i="4"/>
  <c r="D133" i="4"/>
  <c r="AS23" i="7"/>
  <c r="AY23" i="7"/>
  <c r="D23" i="7"/>
  <c r="AP23" i="7"/>
  <c r="AZ23" i="7"/>
  <c r="AX23" i="7"/>
  <c r="C23" i="7"/>
  <c r="BB23" i="7"/>
  <c r="B24" i="7"/>
  <c r="I19" i="5"/>
  <c r="C132" i="4"/>
  <c r="I133" i="4"/>
  <c r="E133" i="4"/>
  <c r="BA23" i="7"/>
  <c r="F133" i="4"/>
  <c r="E23" i="7"/>
  <c r="H133" i="4"/>
  <c r="G133" i="4"/>
  <c r="AX19" i="5"/>
  <c r="K19" i="5"/>
  <c r="C24" i="7"/>
  <c r="AX24" i="7"/>
  <c r="BB24" i="7"/>
  <c r="AS24" i="7"/>
  <c r="AY24" i="7"/>
  <c r="B25" i="7"/>
  <c r="D24" i="7"/>
  <c r="F24" i="7"/>
  <c r="B134" i="4"/>
  <c r="E134" i="4"/>
  <c r="AP24" i="7"/>
  <c r="AZ24" i="7"/>
  <c r="A24" i="7"/>
  <c r="BA24" i="7"/>
  <c r="I20" i="5"/>
  <c r="AJ23" i="7"/>
  <c r="AB23" i="7"/>
  <c r="AL23" i="7"/>
  <c r="AD23" i="7"/>
  <c r="AK23" i="7"/>
  <c r="AF23" i="7"/>
  <c r="AE23" i="7"/>
  <c r="AH23" i="7"/>
  <c r="AM23" i="7"/>
  <c r="D134" i="4"/>
  <c r="C133" i="4"/>
  <c r="I134" i="4"/>
  <c r="G134" i="4"/>
  <c r="H134" i="4"/>
  <c r="F134" i="4"/>
  <c r="E24" i="7"/>
  <c r="AX20" i="5"/>
  <c r="K20" i="5"/>
  <c r="BB25" i="7"/>
  <c r="D25" i="7"/>
  <c r="A25" i="7"/>
  <c r="F25" i="7"/>
  <c r="B135" i="4"/>
  <c r="E135" i="4"/>
  <c r="AS25" i="7"/>
  <c r="AY25" i="7"/>
  <c r="AP25" i="7"/>
  <c r="AZ25" i="7"/>
  <c r="B26" i="7"/>
  <c r="I22" i="5"/>
  <c r="AX22" i="5"/>
  <c r="AX25" i="7"/>
  <c r="C25" i="7"/>
  <c r="I21" i="5"/>
  <c r="AK24" i="7"/>
  <c r="AB24" i="7"/>
  <c r="AM24" i="7"/>
  <c r="AD24" i="7"/>
  <c r="AF24" i="7"/>
  <c r="AL24" i="7"/>
  <c r="AH24" i="7"/>
  <c r="AE24" i="7"/>
  <c r="AJ24" i="7"/>
  <c r="F135" i="4"/>
  <c r="I135" i="4"/>
  <c r="C134" i="4"/>
  <c r="D135" i="4"/>
  <c r="G135" i="4"/>
  <c r="BA25" i="7"/>
  <c r="AX21" i="5"/>
  <c r="K21" i="5"/>
  <c r="AJ25" i="7"/>
  <c r="AB25" i="7"/>
  <c r="AL25" i="7"/>
  <c r="AD25" i="7"/>
  <c r="AK25" i="7"/>
  <c r="AF25" i="7"/>
  <c r="AE25" i="7"/>
  <c r="AH25" i="7"/>
  <c r="AM25" i="7"/>
  <c r="C26" i="7"/>
  <c r="AX26" i="7"/>
  <c r="AS26" i="7"/>
  <c r="AY26" i="7"/>
  <c r="BB26" i="7"/>
  <c r="B27" i="7"/>
  <c r="D26" i="7"/>
  <c r="F26" i="7"/>
  <c r="B136" i="4"/>
  <c r="D136" i="4"/>
  <c r="A26" i="7"/>
  <c r="AP26" i="7"/>
  <c r="AZ26" i="7"/>
  <c r="H135" i="4"/>
  <c r="K22" i="5"/>
  <c r="E25" i="7"/>
  <c r="H136" i="4"/>
  <c r="C135" i="4"/>
  <c r="F136" i="4"/>
  <c r="BA26" i="7"/>
  <c r="AP27" i="7"/>
  <c r="AZ27" i="7"/>
  <c r="B28" i="7"/>
  <c r="AX27" i="7"/>
  <c r="C27" i="7"/>
  <c r="BB27" i="7"/>
  <c r="D27" i="7"/>
  <c r="A27" i="7"/>
  <c r="F27" i="7"/>
  <c r="B137" i="4"/>
  <c r="G137" i="4"/>
  <c r="AS27" i="7"/>
  <c r="AY27" i="7"/>
  <c r="I23" i="5"/>
  <c r="AK26" i="7"/>
  <c r="AB26" i="7"/>
  <c r="AJ26" i="7"/>
  <c r="AE26" i="7"/>
  <c r="AF26" i="7"/>
  <c r="AL26" i="7"/>
  <c r="AH26" i="7"/>
  <c r="AM26" i="7"/>
  <c r="AD26" i="7"/>
  <c r="E136" i="4"/>
  <c r="I136" i="4"/>
  <c r="G136" i="4"/>
  <c r="E26" i="7"/>
  <c r="C136" i="4"/>
  <c r="BA27" i="7"/>
  <c r="D137" i="4"/>
  <c r="F137" i="4"/>
  <c r="H137" i="4"/>
  <c r="E27" i="7"/>
  <c r="AJ27" i="7"/>
  <c r="AB27" i="7"/>
  <c r="AL27" i="7"/>
  <c r="AD27" i="7"/>
  <c r="AK27" i="7"/>
  <c r="AF27" i="7"/>
  <c r="AE27" i="7"/>
  <c r="AH27" i="7"/>
  <c r="AM27" i="7"/>
  <c r="AP28" i="7"/>
  <c r="AZ28" i="7"/>
  <c r="D28" i="7"/>
  <c r="AX28" i="7"/>
  <c r="AS28" i="7"/>
  <c r="AY28" i="7"/>
  <c r="BB28" i="7"/>
  <c r="A28" i="7"/>
  <c r="F28" i="7"/>
  <c r="B138" i="4"/>
  <c r="I138" i="4"/>
  <c r="C28" i="7"/>
  <c r="B29" i="7"/>
  <c r="I24" i="5"/>
  <c r="E137" i="4"/>
  <c r="I137" i="4"/>
  <c r="AX23" i="5"/>
  <c r="K23" i="5"/>
  <c r="C137" i="4"/>
  <c r="F138" i="4"/>
  <c r="H138" i="4"/>
  <c r="BA28" i="7"/>
  <c r="D138" i="4"/>
  <c r="K24" i="5"/>
  <c r="AX24" i="5"/>
  <c r="A29" i="7"/>
  <c r="BB29" i="7"/>
  <c r="C29" i="7"/>
  <c r="F29" i="7"/>
  <c r="B139" i="4"/>
  <c r="I139" i="4"/>
  <c r="AS29" i="7"/>
  <c r="AY29" i="7"/>
  <c r="AX29" i="7"/>
  <c r="B30" i="7"/>
  <c r="D29" i="7"/>
  <c r="AP29" i="7"/>
  <c r="AZ29" i="7"/>
  <c r="I25" i="5"/>
  <c r="G138" i="4"/>
  <c r="E138" i="4"/>
  <c r="AL28" i="7"/>
  <c r="AD28" i="7"/>
  <c r="AK28" i="7"/>
  <c r="AF28" i="7"/>
  <c r="AE28" i="7"/>
  <c r="AH28" i="7"/>
  <c r="AM28" i="7"/>
  <c r="AJ28" i="7"/>
  <c r="AB28" i="7"/>
  <c r="E28" i="7"/>
  <c r="E139" i="4"/>
  <c r="F139" i="4"/>
  <c r="H139" i="4"/>
  <c r="C138" i="4"/>
  <c r="AX25" i="5"/>
  <c r="K25" i="5"/>
  <c r="E29" i="7"/>
  <c r="G139" i="4"/>
  <c r="D139" i="4"/>
  <c r="BA29" i="7"/>
  <c r="AP30" i="7"/>
  <c r="AZ30" i="7"/>
  <c r="AS30" i="7"/>
  <c r="AY30" i="7"/>
  <c r="AX30" i="7"/>
  <c r="C30" i="7"/>
  <c r="BB30" i="7"/>
  <c r="D30" i="7"/>
  <c r="B31" i="7"/>
  <c r="F30" i="7"/>
  <c r="B140" i="4"/>
  <c r="D140" i="4"/>
  <c r="A30" i="7"/>
  <c r="I26" i="5"/>
  <c r="AK29" i="7"/>
  <c r="AB29" i="7"/>
  <c r="AM29" i="7"/>
  <c r="AD29" i="7"/>
  <c r="AF29" i="7"/>
  <c r="AL29" i="7"/>
  <c r="AH29" i="7"/>
  <c r="AE29" i="7"/>
  <c r="AJ29" i="7"/>
  <c r="G140" i="4"/>
  <c r="C139" i="4"/>
  <c r="H140" i="4"/>
  <c r="I140" i="4"/>
  <c r="E140" i="4"/>
  <c r="F140" i="4"/>
  <c r="BA30" i="7"/>
  <c r="AX26" i="5"/>
  <c r="K26" i="5"/>
  <c r="AS31" i="7"/>
  <c r="AY31" i="7"/>
  <c r="AX31" i="7"/>
  <c r="D31" i="7"/>
  <c r="AP31" i="7"/>
  <c r="AZ31" i="7"/>
  <c r="B32" i="7"/>
  <c r="A31" i="7"/>
  <c r="BB31" i="7"/>
  <c r="F31" i="7"/>
  <c r="B141" i="4"/>
  <c r="C31" i="7"/>
  <c r="I27" i="5"/>
  <c r="E30" i="7"/>
  <c r="AF30" i="7"/>
  <c r="AE30" i="7"/>
  <c r="AH30" i="7"/>
  <c r="AM30" i="7"/>
  <c r="AJ30" i="7"/>
  <c r="AB30" i="7"/>
  <c r="AL30" i="7"/>
  <c r="AD30" i="7"/>
  <c r="AK30" i="7"/>
  <c r="D141" i="4"/>
  <c r="G141" i="4"/>
  <c r="H141" i="4"/>
  <c r="C140" i="4"/>
  <c r="BA31" i="7"/>
  <c r="AX27" i="5"/>
  <c r="K27" i="5"/>
  <c r="I141" i="4"/>
  <c r="F141" i="4"/>
  <c r="E141" i="4"/>
  <c r="AM31" i="7"/>
  <c r="AD31" i="7"/>
  <c r="AF31" i="7"/>
  <c r="AL31" i="7"/>
  <c r="AH31" i="7"/>
  <c r="AE31" i="7"/>
  <c r="AJ31" i="7"/>
  <c r="AK31" i="7"/>
  <c r="AB31" i="7"/>
  <c r="F32" i="7"/>
  <c r="B142" i="4"/>
  <c r="E142" i="4"/>
  <c r="A32" i="7"/>
  <c r="AP32" i="7"/>
  <c r="AZ32" i="7"/>
  <c r="AS32" i="7"/>
  <c r="AY32" i="7"/>
  <c r="AX32" i="7"/>
  <c r="C32" i="7"/>
  <c r="BB32" i="7"/>
  <c r="D32" i="7"/>
  <c r="B33" i="7"/>
  <c r="I28" i="5"/>
  <c r="E31" i="7"/>
  <c r="F142" i="4"/>
  <c r="C141" i="4"/>
  <c r="BA32" i="7"/>
  <c r="G142" i="4"/>
  <c r="D142" i="4"/>
  <c r="I142" i="4"/>
  <c r="H142" i="4"/>
  <c r="E32" i="7"/>
  <c r="AL32" i="7"/>
  <c r="AD32" i="7"/>
  <c r="AK32" i="7"/>
  <c r="AF32" i="7"/>
  <c r="AE32" i="7"/>
  <c r="AH32" i="7"/>
  <c r="AM32" i="7"/>
  <c r="AJ32" i="7"/>
  <c r="AB32" i="7"/>
  <c r="K28" i="5"/>
  <c r="AX28" i="5"/>
  <c r="D33" i="7"/>
  <c r="AP33" i="7"/>
  <c r="AZ33" i="7"/>
  <c r="AS33" i="7"/>
  <c r="AY33" i="7"/>
  <c r="AX33" i="7"/>
  <c r="C33" i="7"/>
  <c r="F33" i="7"/>
  <c r="B143" i="4"/>
  <c r="E143" i="4"/>
  <c r="B34" i="7"/>
  <c r="A33" i="7"/>
  <c r="BB33" i="7"/>
  <c r="I29" i="5"/>
  <c r="C142" i="4"/>
  <c r="I143" i="4"/>
  <c r="F143" i="4"/>
  <c r="D143" i="4"/>
  <c r="G143" i="4"/>
  <c r="BA33" i="7"/>
  <c r="AX29" i="5"/>
  <c r="K29" i="5"/>
  <c r="AX34" i="7"/>
  <c r="C34" i="7"/>
  <c r="AP34" i="7"/>
  <c r="AZ34" i="7"/>
  <c r="BB34" i="7"/>
  <c r="B35" i="7"/>
  <c r="I31" i="5"/>
  <c r="K31" i="5"/>
  <c r="F34" i="7"/>
  <c r="B144" i="4"/>
  <c r="A34" i="7"/>
  <c r="AS34" i="7"/>
  <c r="AY34" i="7"/>
  <c r="D34" i="7"/>
  <c r="I30" i="5"/>
  <c r="AE33" i="7"/>
  <c r="AJ33" i="7"/>
  <c r="AK33" i="7"/>
  <c r="AB33" i="7"/>
  <c r="AM33" i="7"/>
  <c r="AD33" i="7"/>
  <c r="AF33" i="7"/>
  <c r="AL33" i="7"/>
  <c r="AH33" i="7"/>
  <c r="E33" i="7"/>
  <c r="H143" i="4"/>
  <c r="G144" i="4"/>
  <c r="C143" i="4"/>
  <c r="BA34" i="7"/>
  <c r="F144" i="4"/>
  <c r="E144" i="4"/>
  <c r="I144" i="4"/>
  <c r="AJ34" i="7"/>
  <c r="AB34" i="7"/>
  <c r="AL34" i="7"/>
  <c r="AD34" i="7"/>
  <c r="AK34" i="7"/>
  <c r="AF34" i="7"/>
  <c r="AE34" i="7"/>
  <c r="AH34" i="7"/>
  <c r="AM34" i="7"/>
  <c r="D144" i="4"/>
  <c r="H144" i="4"/>
  <c r="AX31" i="5"/>
  <c r="K30" i="5"/>
  <c r="AX30" i="5"/>
  <c r="E34" i="7"/>
  <c r="BB35" i="7"/>
  <c r="AS35" i="7"/>
  <c r="AY35" i="7"/>
  <c r="D35" i="7"/>
  <c r="B36" i="7"/>
  <c r="F35" i="7"/>
  <c r="B145" i="4"/>
  <c r="E145" i="4"/>
  <c r="AP35" i="7"/>
  <c r="AZ35" i="7"/>
  <c r="A35" i="7"/>
  <c r="AX35" i="7"/>
  <c r="BA35" i="7"/>
  <c r="C35" i="7"/>
  <c r="C144" i="4"/>
  <c r="G145" i="4"/>
  <c r="H145" i="4"/>
  <c r="I145" i="4"/>
  <c r="AH35" i="7"/>
  <c r="AK35" i="7"/>
  <c r="AJ35" i="7"/>
  <c r="AB35" i="7"/>
  <c r="AL35" i="7"/>
  <c r="AD35" i="7"/>
  <c r="AE35" i="7"/>
  <c r="AF35" i="7"/>
  <c r="AM35" i="7"/>
  <c r="E35" i="7"/>
  <c r="F145" i="4"/>
  <c r="D145" i="4"/>
  <c r="AS36" i="7"/>
  <c r="AY36" i="7"/>
  <c r="AX36" i="7"/>
  <c r="B37" i="7"/>
  <c r="BB36" i="7"/>
  <c r="D36" i="7"/>
  <c r="A36" i="7"/>
  <c r="F36" i="7"/>
  <c r="B146" i="4"/>
  <c r="D146" i="4"/>
  <c r="C36" i="7"/>
  <c r="AP36" i="7"/>
  <c r="AZ36" i="7"/>
  <c r="I32" i="5"/>
  <c r="C145" i="4"/>
  <c r="H146" i="4"/>
  <c r="F146" i="4"/>
  <c r="BA36" i="7"/>
  <c r="AX32" i="5"/>
  <c r="K32" i="5"/>
  <c r="E36" i="7"/>
  <c r="AP37" i="7"/>
  <c r="AZ37" i="7"/>
  <c r="AS37" i="7"/>
  <c r="AY37" i="7"/>
  <c r="AX37" i="7"/>
  <c r="B38" i="7"/>
  <c r="K42" i="7"/>
  <c r="BB37" i="7"/>
  <c r="D37" i="7"/>
  <c r="C37" i="7"/>
  <c r="F37" i="7"/>
  <c r="B147" i="4"/>
  <c r="I147" i="4"/>
  <c r="A37" i="7"/>
  <c r="I33" i="5"/>
  <c r="G146" i="4"/>
  <c r="E146" i="4"/>
  <c r="I146" i="4"/>
  <c r="AJ36" i="7"/>
  <c r="AD36" i="7"/>
  <c r="AM36" i="7"/>
  <c r="AH36" i="7"/>
  <c r="AK36" i="7"/>
  <c r="AF36" i="7"/>
  <c r="AB36" i="7"/>
  <c r="AE36" i="7"/>
  <c r="AL36" i="7"/>
  <c r="C146" i="4"/>
  <c r="G147" i="4"/>
  <c r="D147" i="4"/>
  <c r="H147" i="4"/>
  <c r="E147" i="4"/>
  <c r="I34" i="5"/>
  <c r="AX34" i="5"/>
  <c r="F147" i="4"/>
  <c r="BA37" i="7"/>
  <c r="AX33" i="5"/>
  <c r="K33" i="5"/>
  <c r="AJ37" i="7"/>
  <c r="AB37" i="7"/>
  <c r="AL37" i="7"/>
  <c r="AD37" i="7"/>
  <c r="AE37" i="7"/>
  <c r="AF37" i="7"/>
  <c r="AM37" i="7"/>
  <c r="AH37" i="7"/>
  <c r="AK37" i="7"/>
  <c r="E37" i="7"/>
  <c r="B8" i="8"/>
  <c r="L4" i="5"/>
  <c r="N4" i="5"/>
  <c r="A38" i="7"/>
  <c r="F38" i="7"/>
  <c r="B148" i="4"/>
  <c r="D148" i="4"/>
  <c r="BB38" i="7"/>
  <c r="D38" i="7"/>
  <c r="AS38" i="7"/>
  <c r="AY38" i="7"/>
  <c r="AX38" i="7"/>
  <c r="C38" i="7"/>
  <c r="AP38" i="7"/>
  <c r="AZ38" i="7"/>
  <c r="K34" i="5"/>
  <c r="C147" i="4"/>
  <c r="BA38" i="7"/>
  <c r="E148" i="4"/>
  <c r="E149" i="4"/>
  <c r="I148" i="4"/>
  <c r="F148" i="4"/>
  <c r="F149" i="4" s="1"/>
  <c r="E38" i="7"/>
  <c r="E4" i="8"/>
  <c r="BB8" i="8"/>
  <c r="D8" i="8"/>
  <c r="AS8" i="8"/>
  <c r="AY8" i="8"/>
  <c r="A8" i="8"/>
  <c r="AP8" i="8"/>
  <c r="AZ8" i="8"/>
  <c r="F8" i="8"/>
  <c r="B170" i="4"/>
  <c r="E170" i="4"/>
  <c r="B9" i="8"/>
  <c r="L5" i="5"/>
  <c r="BB5" i="5"/>
  <c r="C8" i="8"/>
  <c r="AX8" i="8"/>
  <c r="H148" i="4"/>
  <c r="H149" i="4"/>
  <c r="G148" i="4"/>
  <c r="G149" i="4"/>
  <c r="AJ38" i="7"/>
  <c r="AJ40" i="7"/>
  <c r="AJ41" i="7"/>
  <c r="AJ39" i="8"/>
  <c r="AD38" i="7"/>
  <c r="AD40" i="7"/>
  <c r="AD41" i="7"/>
  <c r="AD39" i="8"/>
  <c r="AM38" i="7"/>
  <c r="AM40" i="7"/>
  <c r="AM41" i="7"/>
  <c r="AM39" i="8"/>
  <c r="AH38" i="7"/>
  <c r="AH40" i="7"/>
  <c r="AH41" i="7"/>
  <c r="AH39" i="8"/>
  <c r="AK38" i="7"/>
  <c r="AK40" i="7"/>
  <c r="AK41" i="7"/>
  <c r="AK39" i="8"/>
  <c r="AF38" i="7"/>
  <c r="AF40" i="7"/>
  <c r="AF41" i="7"/>
  <c r="AF39" i="8"/>
  <c r="AB38" i="7"/>
  <c r="AB40" i="7"/>
  <c r="AE38" i="7"/>
  <c r="AE40" i="7"/>
  <c r="AE41" i="7"/>
  <c r="AE39" i="8"/>
  <c r="AL38" i="7"/>
  <c r="AL40" i="7"/>
  <c r="AL41" i="7"/>
  <c r="AL39" i="8"/>
  <c r="I170" i="4"/>
  <c r="D170" i="4"/>
  <c r="C148" i="4"/>
  <c r="BB4" i="5"/>
  <c r="G170" i="4"/>
  <c r="H170" i="4"/>
  <c r="BA8" i="8"/>
  <c r="F170" i="4"/>
  <c r="AB41" i="7"/>
  <c r="K40" i="7"/>
  <c r="B10" i="8"/>
  <c r="C9" i="8"/>
  <c r="BB9" i="8"/>
  <c r="A9" i="8"/>
  <c r="AP9" i="8"/>
  <c r="AZ9" i="8"/>
  <c r="D9" i="8"/>
  <c r="AX9" i="8"/>
  <c r="AS9" i="8"/>
  <c r="AY9" i="8"/>
  <c r="F9" i="8"/>
  <c r="B171" i="4"/>
  <c r="I171" i="4"/>
  <c r="AJ8" i="8"/>
  <c r="AF8" i="8"/>
  <c r="AB8" i="8"/>
  <c r="AK8" i="8"/>
  <c r="AL8" i="8"/>
  <c r="AD8" i="8"/>
  <c r="AE8" i="8"/>
  <c r="AH8" i="8"/>
  <c r="AM8" i="8"/>
  <c r="E8" i="8"/>
  <c r="N5" i="5"/>
  <c r="G171" i="4"/>
  <c r="D164" i="4"/>
  <c r="C170" i="4"/>
  <c r="K41" i="7"/>
  <c r="AB39" i="8"/>
  <c r="K39" i="8"/>
  <c r="E171" i="4"/>
  <c r="H171" i="4"/>
  <c r="BA9" i="8"/>
  <c r="AX10" i="8"/>
  <c r="F10" i="8"/>
  <c r="B172" i="4"/>
  <c r="E172" i="4"/>
  <c r="B11" i="8"/>
  <c r="C10" i="8"/>
  <c r="AP10" i="8"/>
  <c r="AZ10" i="8"/>
  <c r="AS10" i="8"/>
  <c r="AY10" i="8"/>
  <c r="BB10" i="8"/>
  <c r="D10" i="8"/>
  <c r="A10" i="8"/>
  <c r="D171" i="4"/>
  <c r="F171" i="4"/>
  <c r="L6" i="5"/>
  <c r="BB6" i="5"/>
  <c r="E9" i="8"/>
  <c r="AM9" i="8"/>
  <c r="AE9" i="8"/>
  <c r="AJ9" i="8"/>
  <c r="AF9" i="8"/>
  <c r="AB9" i="8"/>
  <c r="AL9" i="8"/>
  <c r="AD9" i="8"/>
  <c r="AK9" i="8"/>
  <c r="AH9" i="8"/>
  <c r="L7" i="5"/>
  <c r="BB7" i="5"/>
  <c r="I172" i="4"/>
  <c r="C171" i="4"/>
  <c r="H172" i="4"/>
  <c r="N6" i="5"/>
  <c r="F172" i="4"/>
  <c r="E10" i="8"/>
  <c r="AL10" i="8"/>
  <c r="AH10" i="8"/>
  <c r="AD10" i="8"/>
  <c r="AM10" i="8"/>
  <c r="AE10" i="8"/>
  <c r="AF10" i="8"/>
  <c r="AK10" i="8"/>
  <c r="AJ10" i="8"/>
  <c r="AB10" i="8"/>
  <c r="G172" i="4"/>
  <c r="D172" i="4"/>
  <c r="AS11" i="8"/>
  <c r="AY11" i="8"/>
  <c r="A11" i="8"/>
  <c r="AX11" i="8"/>
  <c r="F11" i="8"/>
  <c r="B173" i="4"/>
  <c r="G173" i="4"/>
  <c r="C11" i="8"/>
  <c r="AP11" i="8"/>
  <c r="AZ11" i="8"/>
  <c r="B12" i="8"/>
  <c r="L8" i="5"/>
  <c r="BB8" i="5"/>
  <c r="BB11" i="8"/>
  <c r="D11" i="8"/>
  <c r="BA10" i="8"/>
  <c r="N7" i="5"/>
  <c r="C172" i="4"/>
  <c r="E173" i="4"/>
  <c r="BA11" i="8"/>
  <c r="F173" i="4"/>
  <c r="I173" i="4"/>
  <c r="D173" i="4"/>
  <c r="H173" i="4"/>
  <c r="E11" i="8"/>
  <c r="AX12" i="8"/>
  <c r="F12" i="8"/>
  <c r="B174" i="4"/>
  <c r="D174" i="4"/>
  <c r="B13" i="8"/>
  <c r="C12" i="8"/>
  <c r="BB12" i="8"/>
  <c r="AP12" i="8"/>
  <c r="AZ12" i="8"/>
  <c r="D12" i="8"/>
  <c r="AS12" i="8"/>
  <c r="AY12" i="8"/>
  <c r="A12" i="8"/>
  <c r="AM11" i="8"/>
  <c r="AE11" i="8"/>
  <c r="AJ11" i="8"/>
  <c r="AF11" i="8"/>
  <c r="AB11" i="8"/>
  <c r="AK11" i="8"/>
  <c r="AL11" i="8"/>
  <c r="AH11" i="8"/>
  <c r="AD11" i="8"/>
  <c r="N8" i="5"/>
  <c r="C173" i="4"/>
  <c r="I174" i="4"/>
  <c r="E174" i="4"/>
  <c r="G174" i="4"/>
  <c r="H174" i="4"/>
  <c r="BA12" i="8"/>
  <c r="E12" i="8"/>
  <c r="AX13" i="8"/>
  <c r="C13" i="8"/>
  <c r="B14" i="8"/>
  <c r="F13" i="8"/>
  <c r="B175" i="4"/>
  <c r="D175" i="4"/>
  <c r="BB13" i="8"/>
  <c r="AP13" i="8"/>
  <c r="AZ13" i="8"/>
  <c r="A13" i="8"/>
  <c r="AS13" i="8"/>
  <c r="AY13" i="8"/>
  <c r="D13" i="8"/>
  <c r="F174" i="4"/>
  <c r="L9" i="5"/>
  <c r="BB9" i="5"/>
  <c r="AL12" i="8"/>
  <c r="AH12" i="8"/>
  <c r="AD12" i="8"/>
  <c r="AM12" i="8"/>
  <c r="AE12" i="8"/>
  <c r="AJ12" i="8"/>
  <c r="AF12" i="8"/>
  <c r="AB12" i="8"/>
  <c r="AK12" i="8"/>
  <c r="C174" i="4"/>
  <c r="I175" i="4"/>
  <c r="E175" i="4"/>
  <c r="H175" i="4"/>
  <c r="G175" i="4"/>
  <c r="N9" i="5"/>
  <c r="BA13" i="8"/>
  <c r="E13" i="8"/>
  <c r="B15" i="8"/>
  <c r="C14" i="8"/>
  <c r="D14" i="8"/>
  <c r="AX14" i="8"/>
  <c r="F14" i="8"/>
  <c r="B176" i="4"/>
  <c r="I176" i="4"/>
  <c r="AS14" i="8"/>
  <c r="AY14" i="8"/>
  <c r="A14" i="8"/>
  <c r="BB14" i="8"/>
  <c r="AP14" i="8"/>
  <c r="AZ14" i="8"/>
  <c r="F175" i="4"/>
  <c r="L10" i="5"/>
  <c r="N10" i="5"/>
  <c r="AJ13" i="8"/>
  <c r="AE13" i="8"/>
  <c r="AH13" i="8"/>
  <c r="AD13" i="8"/>
  <c r="AL13" i="8"/>
  <c r="AM13" i="8"/>
  <c r="AK13" i="8"/>
  <c r="AF13" i="8"/>
  <c r="AB13" i="8"/>
  <c r="L11" i="5"/>
  <c r="D176" i="4"/>
  <c r="C175" i="4"/>
  <c r="BA14" i="8"/>
  <c r="BB10" i="5"/>
  <c r="E176" i="4"/>
  <c r="G176" i="4"/>
  <c r="H176" i="4"/>
  <c r="F176" i="4"/>
  <c r="AM14" i="8"/>
  <c r="AE14" i="8"/>
  <c r="AD14" i="8"/>
  <c r="AJ14" i="8"/>
  <c r="AF14" i="8"/>
  <c r="AK14" i="8"/>
  <c r="AL14" i="8"/>
  <c r="AB14" i="8"/>
  <c r="AH14" i="8"/>
  <c r="E14" i="8"/>
  <c r="AX15" i="8"/>
  <c r="F15" i="8"/>
  <c r="B177" i="4"/>
  <c r="C15" i="8"/>
  <c r="AS15" i="8"/>
  <c r="AY15" i="8"/>
  <c r="BB15" i="8"/>
  <c r="AP15" i="8"/>
  <c r="AZ15" i="8"/>
  <c r="D15" i="8"/>
  <c r="B16" i="8"/>
  <c r="L12" i="5"/>
  <c r="N12" i="5"/>
  <c r="A15" i="8"/>
  <c r="N11" i="5"/>
  <c r="BB11" i="5"/>
  <c r="C176" i="4"/>
  <c r="F177" i="4"/>
  <c r="G177" i="4"/>
  <c r="I177" i="4"/>
  <c r="D177" i="4"/>
  <c r="H177" i="4"/>
  <c r="E177" i="4"/>
  <c r="BA15" i="8"/>
  <c r="E15" i="8"/>
  <c r="AL15" i="8"/>
  <c r="AH15" i="8"/>
  <c r="AD15" i="8"/>
  <c r="AM15" i="8"/>
  <c r="AK15" i="8"/>
  <c r="AJ15" i="8"/>
  <c r="AF15" i="8"/>
  <c r="AB15" i="8"/>
  <c r="AE15" i="8"/>
  <c r="AS16" i="8"/>
  <c r="AY16" i="8"/>
  <c r="A16" i="8"/>
  <c r="BB16" i="8"/>
  <c r="AP16" i="8"/>
  <c r="AZ16" i="8"/>
  <c r="B17" i="8"/>
  <c r="L13" i="5"/>
  <c r="N13" i="5"/>
  <c r="C16" i="8"/>
  <c r="D16" i="8"/>
  <c r="AX16" i="8"/>
  <c r="F16" i="8"/>
  <c r="B178" i="4"/>
  <c r="D178" i="4"/>
  <c r="BB12" i="5"/>
  <c r="G178" i="4"/>
  <c r="C177" i="4"/>
  <c r="H178" i="4"/>
  <c r="E178" i="4"/>
  <c r="I178" i="4"/>
  <c r="F178" i="4"/>
  <c r="BA16" i="8"/>
  <c r="AM16" i="8"/>
  <c r="AE16" i="8"/>
  <c r="AD16" i="8"/>
  <c r="AJ16" i="8"/>
  <c r="AF16" i="8"/>
  <c r="AK16" i="8"/>
  <c r="AL16" i="8"/>
  <c r="AB16" i="8"/>
  <c r="AH16" i="8"/>
  <c r="E16" i="8"/>
  <c r="AX17" i="8"/>
  <c r="F17" i="8"/>
  <c r="B179" i="4"/>
  <c r="D179" i="4"/>
  <c r="B18" i="8"/>
  <c r="L14" i="5"/>
  <c r="BB14" i="5"/>
  <c r="A17" i="8"/>
  <c r="BB17" i="8"/>
  <c r="AP17" i="8"/>
  <c r="AZ17" i="8"/>
  <c r="D17" i="8"/>
  <c r="C17" i="8"/>
  <c r="AS17" i="8"/>
  <c r="AY17" i="8"/>
  <c r="BB13" i="5"/>
  <c r="C178" i="4"/>
  <c r="E179" i="4"/>
  <c r="G179" i="4"/>
  <c r="F179" i="4"/>
  <c r="I179" i="4"/>
  <c r="H179" i="4"/>
  <c r="BA17" i="8"/>
  <c r="AL17" i="8"/>
  <c r="AH17" i="8"/>
  <c r="AD17" i="8"/>
  <c r="AM17" i="8"/>
  <c r="AK17" i="8"/>
  <c r="AJ17" i="8"/>
  <c r="AF17" i="8"/>
  <c r="AB17" i="8"/>
  <c r="AE17" i="8"/>
  <c r="E17" i="8"/>
  <c r="B19" i="8"/>
  <c r="L15" i="5"/>
  <c r="C18" i="8"/>
  <c r="D18" i="8"/>
  <c r="AX18" i="8"/>
  <c r="F18" i="8"/>
  <c r="B180" i="4"/>
  <c r="I180" i="4"/>
  <c r="AS18" i="8"/>
  <c r="AY18" i="8"/>
  <c r="A18" i="8"/>
  <c r="BB18" i="8"/>
  <c r="AP18" i="8"/>
  <c r="AZ18" i="8"/>
  <c r="N14" i="5"/>
  <c r="C179" i="4"/>
  <c r="G180" i="4"/>
  <c r="D180" i="4"/>
  <c r="E180" i="4"/>
  <c r="H180" i="4"/>
  <c r="F180" i="4"/>
  <c r="AM18" i="8"/>
  <c r="AE18" i="8"/>
  <c r="AD18" i="8"/>
  <c r="AJ18" i="8"/>
  <c r="AF18" i="8"/>
  <c r="AK18" i="8"/>
  <c r="AL18" i="8"/>
  <c r="AB18" i="8"/>
  <c r="AH18" i="8"/>
  <c r="BA18" i="8"/>
  <c r="E18" i="8"/>
  <c r="AX19" i="8"/>
  <c r="F19" i="8"/>
  <c r="B181" i="4"/>
  <c r="D181" i="4"/>
  <c r="C19" i="8"/>
  <c r="AS19" i="8"/>
  <c r="AY19" i="8"/>
  <c r="BB19" i="8"/>
  <c r="AP19" i="8"/>
  <c r="AZ19" i="8"/>
  <c r="D19" i="8"/>
  <c r="B20" i="8"/>
  <c r="L16" i="5"/>
  <c r="BB16" i="5"/>
  <c r="A19" i="8"/>
  <c r="BB15" i="5"/>
  <c r="N15" i="5"/>
  <c r="E181" i="4"/>
  <c r="C180" i="4"/>
  <c r="H181" i="4"/>
  <c r="F181" i="4"/>
  <c r="BA19" i="8"/>
  <c r="AS20" i="8"/>
  <c r="AY20" i="8"/>
  <c r="A20" i="8"/>
  <c r="BB20" i="8"/>
  <c r="AP20" i="8"/>
  <c r="AZ20" i="8"/>
  <c r="B21" i="8"/>
  <c r="C20" i="8"/>
  <c r="D20" i="8"/>
  <c r="AX20" i="8"/>
  <c r="F20" i="8"/>
  <c r="B182" i="4"/>
  <c r="G182" i="4"/>
  <c r="I181" i="4"/>
  <c r="G181" i="4"/>
  <c r="E19" i="8"/>
  <c r="AL19" i="8"/>
  <c r="AH19" i="8"/>
  <c r="AD19" i="8"/>
  <c r="AM19" i="8"/>
  <c r="AK19" i="8"/>
  <c r="AJ19" i="8"/>
  <c r="AF19" i="8"/>
  <c r="AB19" i="8"/>
  <c r="AE19" i="8"/>
  <c r="N16" i="5"/>
  <c r="L17" i="5"/>
  <c r="BB17" i="5"/>
  <c r="H182" i="4"/>
  <c r="D182" i="4"/>
  <c r="C181" i="4"/>
  <c r="BA20" i="8"/>
  <c r="E182" i="4"/>
  <c r="I182" i="4"/>
  <c r="F182" i="4"/>
  <c r="AK20" i="8"/>
  <c r="AL20" i="8"/>
  <c r="AB20" i="8"/>
  <c r="AH20" i="8"/>
  <c r="AM20" i="8"/>
  <c r="AE20" i="8"/>
  <c r="AD20" i="8"/>
  <c r="AJ20" i="8"/>
  <c r="AF20" i="8"/>
  <c r="E20" i="8"/>
  <c r="BB21" i="8"/>
  <c r="AP21" i="8"/>
  <c r="AZ21" i="8"/>
  <c r="D21" i="8"/>
  <c r="B22" i="8"/>
  <c r="A21" i="8"/>
  <c r="AX21" i="8"/>
  <c r="F21" i="8"/>
  <c r="B183" i="4"/>
  <c r="D183" i="4"/>
  <c r="C21" i="8"/>
  <c r="AS21" i="8"/>
  <c r="AY21" i="8"/>
  <c r="N17" i="5"/>
  <c r="L18" i="5"/>
  <c r="N18" i="5"/>
  <c r="C182" i="4"/>
  <c r="G183" i="4"/>
  <c r="H183" i="4"/>
  <c r="E183" i="4"/>
  <c r="I183" i="4"/>
  <c r="F183" i="4"/>
  <c r="AJ21" i="8"/>
  <c r="AF21" i="8"/>
  <c r="AB21" i="8"/>
  <c r="AE21" i="8"/>
  <c r="AL21" i="8"/>
  <c r="AH21" i="8"/>
  <c r="AD21" i="8"/>
  <c r="AM21" i="8"/>
  <c r="AK21" i="8"/>
  <c r="B23" i="8"/>
  <c r="C22" i="8"/>
  <c r="D22" i="8"/>
  <c r="AX22" i="8"/>
  <c r="F22" i="8"/>
  <c r="B184" i="4"/>
  <c r="E184" i="4"/>
  <c r="AS22" i="8"/>
  <c r="AY22" i="8"/>
  <c r="A22" i="8"/>
  <c r="BB22" i="8"/>
  <c r="AP22" i="8"/>
  <c r="AZ22" i="8"/>
  <c r="BA21" i="8"/>
  <c r="E21" i="8"/>
  <c r="BB18" i="5"/>
  <c r="G184" i="4"/>
  <c r="C183" i="4"/>
  <c r="I184" i="4"/>
  <c r="D184" i="4"/>
  <c r="E22" i="8"/>
  <c r="AX23" i="8"/>
  <c r="F23" i="8"/>
  <c r="B185" i="4"/>
  <c r="C23" i="8"/>
  <c r="AS23" i="8"/>
  <c r="AY23" i="8"/>
  <c r="H185" i="4"/>
  <c r="BB23" i="8"/>
  <c r="AP23" i="8"/>
  <c r="AZ23" i="8"/>
  <c r="D23" i="8"/>
  <c r="B24" i="8"/>
  <c r="A23" i="8"/>
  <c r="H184" i="4"/>
  <c r="F184" i="4"/>
  <c r="L19" i="5"/>
  <c r="BB19" i="5"/>
  <c r="BA22" i="8"/>
  <c r="AM22" i="8"/>
  <c r="AE22" i="8"/>
  <c r="AD22" i="8"/>
  <c r="AJ22" i="8"/>
  <c r="AF22" i="8"/>
  <c r="AK22" i="8"/>
  <c r="AL22" i="8"/>
  <c r="AB22" i="8"/>
  <c r="AH22" i="8"/>
  <c r="L20" i="5"/>
  <c r="BB20" i="5"/>
  <c r="G185" i="4"/>
  <c r="C184" i="4"/>
  <c r="BA23" i="8"/>
  <c r="F185" i="4"/>
  <c r="D185" i="4"/>
  <c r="B25" i="8"/>
  <c r="C24" i="8"/>
  <c r="D24" i="8"/>
  <c r="AX24" i="8"/>
  <c r="F24" i="8"/>
  <c r="B186" i="4"/>
  <c r="G186" i="4"/>
  <c r="AS24" i="8"/>
  <c r="AY24" i="8"/>
  <c r="A24" i="8"/>
  <c r="BB24" i="8"/>
  <c r="AP24" i="8"/>
  <c r="AZ24" i="8"/>
  <c r="E185" i="4"/>
  <c r="I185" i="4"/>
  <c r="N19" i="5"/>
  <c r="E23" i="8"/>
  <c r="AJ23" i="8"/>
  <c r="AF23" i="8"/>
  <c r="AB23" i="8"/>
  <c r="AE23" i="8"/>
  <c r="AL23" i="8"/>
  <c r="AH23" i="8"/>
  <c r="AD23" i="8"/>
  <c r="AM23" i="8"/>
  <c r="AK23" i="8"/>
  <c r="N20" i="5"/>
  <c r="L21" i="5"/>
  <c r="BB21" i="5"/>
  <c r="D186" i="4"/>
  <c r="I186" i="4"/>
  <c r="C185" i="4"/>
  <c r="E186" i="4"/>
  <c r="F186" i="4"/>
  <c r="H186" i="4"/>
  <c r="BA24" i="8"/>
  <c r="AM24" i="8"/>
  <c r="AE24" i="8"/>
  <c r="AD24" i="8"/>
  <c r="AJ24" i="8"/>
  <c r="AF24" i="8"/>
  <c r="AK24" i="8"/>
  <c r="AL24" i="8"/>
  <c r="AB24" i="8"/>
  <c r="AH24" i="8"/>
  <c r="E24" i="8"/>
  <c r="AX25" i="8"/>
  <c r="F25" i="8"/>
  <c r="B187" i="4"/>
  <c r="E187" i="4"/>
  <c r="C25" i="8"/>
  <c r="AS25" i="8"/>
  <c r="AY25" i="8"/>
  <c r="BB25" i="8"/>
  <c r="AP25" i="8"/>
  <c r="AZ25" i="8"/>
  <c r="D25" i="8"/>
  <c r="B26" i="8"/>
  <c r="A25" i="8"/>
  <c r="N21" i="5"/>
  <c r="C186" i="4"/>
  <c r="G187" i="4"/>
  <c r="D187" i="4"/>
  <c r="BA25" i="8"/>
  <c r="H187" i="4"/>
  <c r="B27" i="8"/>
  <c r="L23" i="5"/>
  <c r="N23" i="5"/>
  <c r="C26" i="8"/>
  <c r="D26" i="8"/>
  <c r="AX26" i="8"/>
  <c r="F26" i="8"/>
  <c r="B188" i="4"/>
  <c r="I188" i="4"/>
  <c r="AS26" i="8"/>
  <c r="AY26" i="8"/>
  <c r="A26" i="8"/>
  <c r="BB26" i="8"/>
  <c r="AP26" i="8"/>
  <c r="AZ26" i="8"/>
  <c r="I187" i="4"/>
  <c r="F187" i="4"/>
  <c r="L22" i="5"/>
  <c r="BB22" i="5"/>
  <c r="E25" i="8"/>
  <c r="AJ25" i="8"/>
  <c r="AF25" i="8"/>
  <c r="AB25" i="8"/>
  <c r="AE25" i="8"/>
  <c r="AL25" i="8"/>
  <c r="AH25" i="8"/>
  <c r="AD25" i="8"/>
  <c r="AM25" i="8"/>
  <c r="AK25" i="8"/>
  <c r="C187" i="4"/>
  <c r="H188" i="4"/>
  <c r="F188" i="4"/>
  <c r="E188" i="4"/>
  <c r="G188" i="4"/>
  <c r="D188" i="4"/>
  <c r="BA26" i="8"/>
  <c r="AK26" i="8"/>
  <c r="AL26" i="8"/>
  <c r="AB26" i="8"/>
  <c r="AH26" i="8"/>
  <c r="AM26" i="8"/>
  <c r="AE26" i="8"/>
  <c r="AD26" i="8"/>
  <c r="AJ26" i="8"/>
  <c r="AF26" i="8"/>
  <c r="N22" i="5"/>
  <c r="E26" i="8"/>
  <c r="V26" i="8"/>
  <c r="W26" i="8" s="1"/>
  <c r="BB27" i="8"/>
  <c r="AP27" i="8"/>
  <c r="AZ27" i="8"/>
  <c r="D27" i="8"/>
  <c r="B28" i="8"/>
  <c r="A27" i="8"/>
  <c r="AX27" i="8"/>
  <c r="F27" i="8"/>
  <c r="B189" i="4"/>
  <c r="D189" i="4"/>
  <c r="C27" i="8"/>
  <c r="AS27" i="8"/>
  <c r="AY27" i="8"/>
  <c r="BB23" i="5"/>
  <c r="C188" i="4"/>
  <c r="G189" i="4"/>
  <c r="I189" i="4"/>
  <c r="F189" i="4"/>
  <c r="H189" i="4"/>
  <c r="E189" i="4"/>
  <c r="AJ27" i="8"/>
  <c r="AF27" i="8"/>
  <c r="AB27" i="8"/>
  <c r="AE27" i="8"/>
  <c r="AL27" i="8"/>
  <c r="AH27" i="8"/>
  <c r="AD27" i="8"/>
  <c r="AM27" i="8"/>
  <c r="AK27" i="8"/>
  <c r="BB28" i="8"/>
  <c r="AP28" i="8"/>
  <c r="AZ28" i="8"/>
  <c r="A28" i="8"/>
  <c r="D28" i="8"/>
  <c r="F28" i="8"/>
  <c r="B190" i="4"/>
  <c r="G190" i="4"/>
  <c r="AX28" i="8"/>
  <c r="C28" i="8"/>
  <c r="AS28" i="8"/>
  <c r="AY28" i="8"/>
  <c r="B29" i="8"/>
  <c r="L25" i="5"/>
  <c r="BB25" i="5"/>
  <c r="BA28" i="8"/>
  <c r="BA27" i="8"/>
  <c r="L24" i="5"/>
  <c r="BB24" i="5"/>
  <c r="E27" i="8"/>
  <c r="V27" i="8"/>
  <c r="W27" i="8" s="1"/>
  <c r="C189" i="4"/>
  <c r="H190" i="4"/>
  <c r="N24" i="5"/>
  <c r="D190" i="4"/>
  <c r="E190" i="4"/>
  <c r="B30" i="8"/>
  <c r="C29" i="8"/>
  <c r="D29" i="8"/>
  <c r="F29" i="8"/>
  <c r="B191" i="4"/>
  <c r="D191" i="4"/>
  <c r="AP29" i="8"/>
  <c r="AZ29" i="8"/>
  <c r="AS29" i="8"/>
  <c r="AY29" i="8"/>
  <c r="A29" i="8"/>
  <c r="AX29" i="8"/>
  <c r="BB29" i="8"/>
  <c r="AJ28" i="8"/>
  <c r="AF28" i="8"/>
  <c r="AB28" i="8"/>
  <c r="AE28" i="8"/>
  <c r="AL28" i="8"/>
  <c r="AH28" i="8"/>
  <c r="AD28" i="8"/>
  <c r="AM28" i="8"/>
  <c r="AK28" i="8"/>
  <c r="I190" i="4"/>
  <c r="F190" i="4"/>
  <c r="V28" i="8"/>
  <c r="W28" i="8" s="1"/>
  <c r="E28" i="8"/>
  <c r="N25" i="5"/>
  <c r="L26" i="5"/>
  <c r="N26" i="5"/>
  <c r="E191" i="4"/>
  <c r="G191" i="4"/>
  <c r="C190" i="4"/>
  <c r="H191" i="4"/>
  <c r="AK29" i="8"/>
  <c r="AL29" i="8"/>
  <c r="AB29" i="8"/>
  <c r="AH29" i="8"/>
  <c r="AM29" i="8"/>
  <c r="AE29" i="8"/>
  <c r="AD29" i="8"/>
  <c r="AJ29" i="8"/>
  <c r="AF29" i="8"/>
  <c r="F191" i="4"/>
  <c r="I191" i="4"/>
  <c r="BA29" i="8"/>
  <c r="E29" i="8"/>
  <c r="V29" i="8"/>
  <c r="W29" i="8" s="1"/>
  <c r="BB30" i="8"/>
  <c r="AP30" i="8"/>
  <c r="AZ30" i="8"/>
  <c r="BA30" i="8"/>
  <c r="D30" i="8"/>
  <c r="AS30" i="8"/>
  <c r="AY30" i="8"/>
  <c r="B31" i="8"/>
  <c r="AX30" i="8"/>
  <c r="F30" i="8"/>
  <c r="B192" i="4"/>
  <c r="I192" i="4"/>
  <c r="C30" i="8"/>
  <c r="A30" i="8"/>
  <c r="BB26" i="5"/>
  <c r="L27" i="5"/>
  <c r="C191" i="4"/>
  <c r="E192" i="4"/>
  <c r="G192" i="4"/>
  <c r="D192" i="4"/>
  <c r="F192" i="4"/>
  <c r="H192" i="4"/>
  <c r="AJ30" i="8"/>
  <c r="AF30" i="8"/>
  <c r="AB30" i="8"/>
  <c r="AE30" i="8"/>
  <c r="AL30" i="8"/>
  <c r="AH30" i="8"/>
  <c r="AD30" i="8"/>
  <c r="AM30" i="8"/>
  <c r="AK30" i="8"/>
  <c r="B32" i="8"/>
  <c r="L28" i="5"/>
  <c r="BB28" i="5"/>
  <c r="C31" i="8"/>
  <c r="D31" i="8"/>
  <c r="F31" i="8"/>
  <c r="B193" i="4"/>
  <c r="E193" i="4"/>
  <c r="AP31" i="8"/>
  <c r="AZ31" i="8"/>
  <c r="AS31" i="8"/>
  <c r="AY31" i="8"/>
  <c r="A31" i="8"/>
  <c r="AX31" i="8"/>
  <c r="BB31" i="8"/>
  <c r="E30" i="8"/>
  <c r="N27" i="5"/>
  <c r="BB27" i="5"/>
  <c r="F193" i="4"/>
  <c r="C192" i="4"/>
  <c r="I193" i="4"/>
  <c r="G193" i="4"/>
  <c r="AK31" i="8"/>
  <c r="AL31" i="8"/>
  <c r="AB31" i="8"/>
  <c r="AH31" i="8"/>
  <c r="AM31" i="8"/>
  <c r="AE31" i="8"/>
  <c r="AD31" i="8"/>
  <c r="AJ31" i="8"/>
  <c r="AF31" i="8"/>
  <c r="D193" i="4"/>
  <c r="H193" i="4"/>
  <c r="BA31" i="8"/>
  <c r="E31" i="8"/>
  <c r="BB32" i="8"/>
  <c r="AP32" i="8"/>
  <c r="AZ32" i="8"/>
  <c r="D32" i="8"/>
  <c r="AS32" i="8"/>
  <c r="AY32" i="8"/>
  <c r="B33" i="8"/>
  <c r="AX32" i="8"/>
  <c r="F32" i="8"/>
  <c r="B194" i="4"/>
  <c r="I194" i="4"/>
  <c r="C32" i="8"/>
  <c r="A32" i="8"/>
  <c r="BA32" i="8"/>
  <c r="N28" i="5"/>
  <c r="C193" i="4"/>
  <c r="F194" i="4"/>
  <c r="D194" i="4"/>
  <c r="G194" i="4"/>
  <c r="AS33" i="8"/>
  <c r="AY33" i="8"/>
  <c r="A33" i="8"/>
  <c r="AX33" i="8"/>
  <c r="BB33" i="8"/>
  <c r="B34" i="8"/>
  <c r="L30" i="5"/>
  <c r="BB30" i="5"/>
  <c r="C33" i="8"/>
  <c r="D33" i="8"/>
  <c r="F33" i="8"/>
  <c r="B195" i="4"/>
  <c r="AP33" i="8"/>
  <c r="AZ33" i="8"/>
  <c r="BA33" i="8"/>
  <c r="E32" i="8"/>
  <c r="H194" i="4"/>
  <c r="E194" i="4"/>
  <c r="L29" i="5"/>
  <c r="BB29" i="5"/>
  <c r="AL32" i="8"/>
  <c r="AH32" i="8"/>
  <c r="AD32" i="8"/>
  <c r="AM32" i="8"/>
  <c r="AK32" i="8"/>
  <c r="AJ32" i="8"/>
  <c r="AF32" i="8"/>
  <c r="AB32" i="8"/>
  <c r="AE32" i="8"/>
  <c r="C194" i="4"/>
  <c r="H195" i="4"/>
  <c r="F195" i="4"/>
  <c r="I195" i="4"/>
  <c r="AK33" i="8"/>
  <c r="AL33" i="8"/>
  <c r="AB33" i="8"/>
  <c r="AH33" i="8"/>
  <c r="AM33" i="8"/>
  <c r="AE33" i="8"/>
  <c r="AD33" i="8"/>
  <c r="AJ33" i="8"/>
  <c r="AF33" i="8"/>
  <c r="G195" i="4"/>
  <c r="E195" i="4"/>
  <c r="D195" i="4"/>
  <c r="N29" i="5"/>
  <c r="E33" i="8"/>
  <c r="BB34" i="8"/>
  <c r="AP34" i="8"/>
  <c r="AZ34" i="8"/>
  <c r="D34" i="8"/>
  <c r="AS34" i="8"/>
  <c r="AY34" i="8"/>
  <c r="B35" i="8"/>
  <c r="AX34" i="8"/>
  <c r="BA34" i="8"/>
  <c r="F34" i="8"/>
  <c r="B196" i="4"/>
  <c r="E196" i="4"/>
  <c r="C34" i="8"/>
  <c r="A34" i="8"/>
  <c r="N30" i="5"/>
  <c r="C195" i="4"/>
  <c r="I196" i="4"/>
  <c r="L31" i="5"/>
  <c r="BB31" i="5"/>
  <c r="D196" i="4"/>
  <c r="G196" i="4"/>
  <c r="F196" i="4"/>
  <c r="H196" i="4"/>
  <c r="AL34" i="8"/>
  <c r="AH34" i="8"/>
  <c r="AD34" i="8"/>
  <c r="AM34" i="8"/>
  <c r="AK34" i="8"/>
  <c r="AJ34" i="8"/>
  <c r="AF34" i="8"/>
  <c r="AB34" i="8"/>
  <c r="AE34" i="8"/>
  <c r="AX35" i="8"/>
  <c r="B36" i="8"/>
  <c r="L32" i="5"/>
  <c r="BB32" i="5"/>
  <c r="C35" i="8"/>
  <c r="F35" i="8"/>
  <c r="B197" i="4"/>
  <c r="I197" i="4"/>
  <c r="BB35" i="8"/>
  <c r="AP35" i="8"/>
  <c r="AZ35" i="8"/>
  <c r="AS35" i="8"/>
  <c r="AY35" i="8"/>
  <c r="A35" i="8"/>
  <c r="D35" i="8"/>
  <c r="E34" i="8"/>
  <c r="N31" i="5"/>
  <c r="C196" i="4"/>
  <c r="D197" i="4"/>
  <c r="G197" i="4"/>
  <c r="F197" i="4"/>
  <c r="BA35" i="8"/>
  <c r="AL35" i="8"/>
  <c r="AH35" i="8"/>
  <c r="AD35" i="8"/>
  <c r="AK35" i="8"/>
  <c r="AE35" i="8"/>
  <c r="AJ35" i="8"/>
  <c r="AF35" i="8"/>
  <c r="AB35" i="8"/>
  <c r="AM35" i="8"/>
  <c r="H197" i="4"/>
  <c r="E197" i="4"/>
  <c r="E35" i="8"/>
  <c r="AS36" i="8"/>
  <c r="AY36" i="8"/>
  <c r="A36" i="8"/>
  <c r="AX36" i="8"/>
  <c r="F36" i="8"/>
  <c r="B198" i="4"/>
  <c r="D198" i="4"/>
  <c r="B37" i="8"/>
  <c r="K42" i="8"/>
  <c r="C36" i="8"/>
  <c r="BB36" i="8"/>
  <c r="AP36" i="8"/>
  <c r="AZ36" i="8"/>
  <c r="D36" i="8"/>
  <c r="N32" i="5"/>
  <c r="C197" i="4"/>
  <c r="G198" i="4"/>
  <c r="E198" i="4"/>
  <c r="H198" i="4"/>
  <c r="L33" i="5"/>
  <c r="BB33" i="5"/>
  <c r="BA36" i="8"/>
  <c r="AK36" i="8"/>
  <c r="AJ36" i="8"/>
  <c r="AF36" i="8"/>
  <c r="AD36" i="8"/>
  <c r="AM36" i="8"/>
  <c r="AE36" i="8"/>
  <c r="AH36" i="8"/>
  <c r="AL36" i="8"/>
  <c r="AB36" i="8"/>
  <c r="I198" i="4"/>
  <c r="F198" i="4"/>
  <c r="E36" i="8"/>
  <c r="B8" i="9"/>
  <c r="BB37" i="8"/>
  <c r="AP37" i="8"/>
  <c r="AZ37" i="8"/>
  <c r="D37" i="8"/>
  <c r="A37" i="8"/>
  <c r="AX37" i="8"/>
  <c r="F37" i="8"/>
  <c r="B199" i="4"/>
  <c r="D199" i="4"/>
  <c r="AS37" i="8"/>
  <c r="AY37" i="8"/>
  <c r="C37" i="8"/>
  <c r="C198" i="4"/>
  <c r="N33" i="5"/>
  <c r="G199" i="4"/>
  <c r="G201" i="4" s="1"/>
  <c r="E199" i="4"/>
  <c r="E201" i="4"/>
  <c r="BA37" i="8"/>
  <c r="O4" i="5"/>
  <c r="I199" i="4"/>
  <c r="H199" i="4"/>
  <c r="H201" i="4" s="1"/>
  <c r="F199" i="4"/>
  <c r="F201" i="4" s="1"/>
  <c r="E37" i="8"/>
  <c r="AL37" i="8"/>
  <c r="AL40" i="8"/>
  <c r="AL41" i="8"/>
  <c r="AL39" i="9"/>
  <c r="AH37" i="8"/>
  <c r="AH40" i="8"/>
  <c r="AH41" i="8"/>
  <c r="AH39" i="9"/>
  <c r="AD37" i="8"/>
  <c r="AD40" i="8"/>
  <c r="AD41" i="8"/>
  <c r="AD39" i="9"/>
  <c r="AK37" i="8"/>
  <c r="AK40" i="8"/>
  <c r="AK41" i="8"/>
  <c r="AK39" i="9"/>
  <c r="AE37" i="8"/>
  <c r="AE40" i="8"/>
  <c r="AE41" i="8"/>
  <c r="AE39" i="9"/>
  <c r="AJ37" i="8"/>
  <c r="AJ40" i="8"/>
  <c r="AJ41" i="8"/>
  <c r="AJ39" i="9"/>
  <c r="AF37" i="8"/>
  <c r="AF40" i="8"/>
  <c r="AF41" i="8"/>
  <c r="AF39" i="9"/>
  <c r="AB37" i="8"/>
  <c r="AB40" i="8"/>
  <c r="AM37" i="8"/>
  <c r="AM40" i="8"/>
  <c r="AM41" i="8"/>
  <c r="AM39" i="9"/>
  <c r="E4" i="9"/>
  <c r="BB8" i="9"/>
  <c r="D8" i="9"/>
  <c r="AS8" i="9"/>
  <c r="AY8" i="9"/>
  <c r="C8" i="9"/>
  <c r="AX8" i="9"/>
  <c r="F8" i="9"/>
  <c r="B222" i="4"/>
  <c r="B9" i="9"/>
  <c r="A8" i="9"/>
  <c r="AP8" i="9"/>
  <c r="AZ8" i="9"/>
  <c r="G222" i="4"/>
  <c r="I222" i="4"/>
  <c r="Q4" i="5"/>
  <c r="C199" i="4"/>
  <c r="BF4" i="5"/>
  <c r="F222" i="4"/>
  <c r="AJ8" i="9"/>
  <c r="AF8" i="9"/>
  <c r="AB8" i="9"/>
  <c r="AK8" i="9"/>
  <c r="AH8" i="9"/>
  <c r="AM8" i="9"/>
  <c r="AL8" i="9"/>
  <c r="AE8" i="9"/>
  <c r="AD8" i="9"/>
  <c r="V8" i="9"/>
  <c r="W8" i="9" s="1"/>
  <c r="AA8" i="9" s="1"/>
  <c r="E8" i="9"/>
  <c r="K40" i="8"/>
  <c r="AB41" i="8"/>
  <c r="J222" i="4"/>
  <c r="H222" i="4"/>
  <c r="E222" i="4"/>
  <c r="D222" i="4"/>
  <c r="B10" i="9"/>
  <c r="O6" i="5"/>
  <c r="BF6" i="5"/>
  <c r="C9" i="9"/>
  <c r="BB9" i="9"/>
  <c r="AP9" i="9"/>
  <c r="AZ9" i="9"/>
  <c r="D9" i="9"/>
  <c r="A9" i="9"/>
  <c r="F9" i="9"/>
  <c r="B223" i="4"/>
  <c r="I223" i="4"/>
  <c r="AS9" i="9"/>
  <c r="AY9" i="9"/>
  <c r="AX9" i="9"/>
  <c r="F223" i="4"/>
  <c r="O5" i="5"/>
  <c r="BA8" i="9"/>
  <c r="D216" i="4"/>
  <c r="C222" i="4"/>
  <c r="E223" i="4"/>
  <c r="K41" i="8"/>
  <c r="AB39" i="9"/>
  <c r="K39" i="9"/>
  <c r="H223" i="4"/>
  <c r="G223" i="4"/>
  <c r="D223" i="4"/>
  <c r="Q5" i="5"/>
  <c r="BF5" i="5"/>
  <c r="BA9" i="9"/>
  <c r="AM9" i="9"/>
  <c r="AE9" i="9"/>
  <c r="AJ9" i="9"/>
  <c r="AF9" i="9"/>
  <c r="AB9" i="9"/>
  <c r="AK9" i="9"/>
  <c r="AL9" i="9"/>
  <c r="AH9" i="9"/>
  <c r="AD9" i="9"/>
  <c r="E9" i="9"/>
  <c r="AX10" i="9"/>
  <c r="F224" i="4"/>
  <c r="F10" i="9"/>
  <c r="B224" i="4"/>
  <c r="G224" i="4"/>
  <c r="B11" i="9"/>
  <c r="C10" i="9"/>
  <c r="AP10" i="9"/>
  <c r="AZ10" i="9"/>
  <c r="AS10" i="9"/>
  <c r="AY10" i="9"/>
  <c r="BB10" i="9"/>
  <c r="D10" i="9"/>
  <c r="A10" i="9"/>
  <c r="Q6" i="5"/>
  <c r="D224" i="4"/>
  <c r="H224" i="4"/>
  <c r="I224" i="4"/>
  <c r="C223" i="4"/>
  <c r="E224" i="4"/>
  <c r="BA10" i="9"/>
  <c r="AS11" i="9"/>
  <c r="AY11" i="9"/>
  <c r="A11" i="9"/>
  <c r="AX11" i="9"/>
  <c r="F11" i="9"/>
  <c r="B225" i="4"/>
  <c r="B12" i="9"/>
  <c r="C11" i="9"/>
  <c r="BB11" i="9"/>
  <c r="AP11" i="9"/>
  <c r="AZ11" i="9"/>
  <c r="D11" i="9"/>
  <c r="O7" i="5"/>
  <c r="E10" i="9"/>
  <c r="AL10" i="9"/>
  <c r="AH10" i="9"/>
  <c r="AD10" i="9"/>
  <c r="AM10" i="9"/>
  <c r="AE10" i="9"/>
  <c r="AJ10" i="9"/>
  <c r="AF10" i="9"/>
  <c r="AB10" i="9"/>
  <c r="AK10" i="9"/>
  <c r="C224" i="4"/>
  <c r="E11" i="9"/>
  <c r="BB12" i="9"/>
  <c r="AP12" i="9"/>
  <c r="AZ12" i="9"/>
  <c r="D12" i="9"/>
  <c r="C12" i="9"/>
  <c r="AX12" i="9"/>
  <c r="F12" i="9"/>
  <c r="B226" i="4"/>
  <c r="B13" i="9"/>
  <c r="AS12" i="9"/>
  <c r="AY12" i="9"/>
  <c r="A12" i="9"/>
  <c r="O8" i="5"/>
  <c r="Q7" i="5"/>
  <c r="BF7" i="5"/>
  <c r="BA11" i="9"/>
  <c r="AK11" i="9"/>
  <c r="AL11" i="9"/>
  <c r="AH11" i="9"/>
  <c r="AD11" i="9"/>
  <c r="AM11" i="9"/>
  <c r="AE11" i="9"/>
  <c r="AJ11" i="9"/>
  <c r="AF11" i="9"/>
  <c r="AB11" i="9"/>
  <c r="G225" i="4"/>
  <c r="I225" i="4"/>
  <c r="E225" i="4"/>
  <c r="H225" i="4"/>
  <c r="D225" i="4"/>
  <c r="F225" i="4"/>
  <c r="C225" i="4"/>
  <c r="BA12" i="9"/>
  <c r="BF8" i="5"/>
  <c r="Q8" i="5"/>
  <c r="I226" i="4"/>
  <c r="E226" i="4"/>
  <c r="G226" i="4"/>
  <c r="H226" i="4"/>
  <c r="D226" i="4"/>
  <c r="F226" i="4"/>
  <c r="AL12" i="9"/>
  <c r="AH12" i="9"/>
  <c r="AD12" i="9"/>
  <c r="AM12" i="9"/>
  <c r="AE12" i="9"/>
  <c r="AJ12" i="9"/>
  <c r="AF12" i="9"/>
  <c r="AB12" i="9"/>
  <c r="AK12" i="9"/>
  <c r="E12" i="9"/>
  <c r="AS13" i="9"/>
  <c r="AY13" i="9"/>
  <c r="A13" i="9"/>
  <c r="AX13" i="9"/>
  <c r="F13" i="9"/>
  <c r="B227" i="4"/>
  <c r="B14" i="9"/>
  <c r="C13" i="9"/>
  <c r="BB13" i="9"/>
  <c r="AP13" i="9"/>
  <c r="AZ13" i="9"/>
  <c r="D13" i="9"/>
  <c r="O9" i="5"/>
  <c r="C226" i="4"/>
  <c r="BA13" i="9"/>
  <c r="BF9" i="5"/>
  <c r="Q9" i="5"/>
  <c r="E13" i="9"/>
  <c r="AX14" i="9"/>
  <c r="F14" i="9"/>
  <c r="B228" i="4"/>
  <c r="B15" i="9"/>
  <c r="C14" i="9"/>
  <c r="BB14" i="9"/>
  <c r="AP14" i="9"/>
  <c r="AZ14" i="9"/>
  <c r="D14" i="9"/>
  <c r="AS14" i="9"/>
  <c r="AY14" i="9"/>
  <c r="A14" i="9"/>
  <c r="O10" i="5"/>
  <c r="AM13" i="9"/>
  <c r="AE13" i="9"/>
  <c r="AJ13" i="9"/>
  <c r="AF13" i="9"/>
  <c r="AB13" i="9"/>
  <c r="AK13" i="9"/>
  <c r="AL13" i="9"/>
  <c r="AH13" i="9"/>
  <c r="AD13" i="9"/>
  <c r="I227" i="4"/>
  <c r="G227" i="4"/>
  <c r="D227" i="4"/>
  <c r="E227" i="4"/>
  <c r="H227" i="4"/>
  <c r="F227" i="4"/>
  <c r="C227" i="4"/>
  <c r="BA14" i="9"/>
  <c r="BF10" i="5"/>
  <c r="Q10" i="5"/>
  <c r="AJ14" i="9"/>
  <c r="AF14" i="9"/>
  <c r="AB14" i="9"/>
  <c r="AK14" i="9"/>
  <c r="AL14" i="9"/>
  <c r="AH14" i="9"/>
  <c r="AD14" i="9"/>
  <c r="AM14" i="9"/>
  <c r="AE14" i="9"/>
  <c r="F228" i="4"/>
  <c r="E228" i="4"/>
  <c r="H228" i="4"/>
  <c r="D228" i="4"/>
  <c r="G228" i="4"/>
  <c r="I228" i="4"/>
  <c r="E14" i="9"/>
  <c r="B16" i="9"/>
  <c r="C15" i="9"/>
  <c r="BB15" i="9"/>
  <c r="AP15" i="9"/>
  <c r="AZ15" i="9"/>
  <c r="D15" i="9"/>
  <c r="AS15" i="9"/>
  <c r="AY15" i="9"/>
  <c r="A15" i="9"/>
  <c r="AX15" i="9"/>
  <c r="F15" i="9"/>
  <c r="B229" i="4"/>
  <c r="O11" i="5"/>
  <c r="C228" i="4"/>
  <c r="Q11" i="5"/>
  <c r="BF11" i="5"/>
  <c r="BA15" i="9"/>
  <c r="AK15" i="9"/>
  <c r="AL15" i="9"/>
  <c r="AH15" i="9"/>
  <c r="AD15" i="9"/>
  <c r="AM15" i="9"/>
  <c r="AE15" i="9"/>
  <c r="AJ15" i="9"/>
  <c r="AF15" i="9"/>
  <c r="AB15" i="9"/>
  <c r="G229" i="4"/>
  <c r="H229" i="4"/>
  <c r="E229" i="4"/>
  <c r="D229" i="4"/>
  <c r="F229" i="4"/>
  <c r="I229" i="4"/>
  <c r="E15" i="9"/>
  <c r="BB16" i="9"/>
  <c r="AP16" i="9"/>
  <c r="AZ16" i="9"/>
  <c r="D16" i="9"/>
  <c r="AS16" i="9"/>
  <c r="AY16" i="9"/>
  <c r="A16" i="9"/>
  <c r="AX16" i="9"/>
  <c r="BA16" i="9"/>
  <c r="F16" i="9"/>
  <c r="B230" i="4"/>
  <c r="B17" i="9"/>
  <c r="C16" i="9"/>
  <c r="O12" i="5"/>
  <c r="C229" i="4"/>
  <c r="AJ16" i="9"/>
  <c r="AF16" i="9"/>
  <c r="AB16" i="9"/>
  <c r="AK16" i="9"/>
  <c r="AL16" i="9"/>
  <c r="AH16" i="9"/>
  <c r="AD16" i="9"/>
  <c r="AM16" i="9"/>
  <c r="AE16" i="9"/>
  <c r="E230" i="4"/>
  <c r="F230" i="4"/>
  <c r="I230" i="4"/>
  <c r="D230" i="4"/>
  <c r="H230" i="4"/>
  <c r="G230" i="4"/>
  <c r="E16" i="9"/>
  <c r="BF12" i="5"/>
  <c r="Q12" i="5"/>
  <c r="B18" i="9"/>
  <c r="C17" i="9"/>
  <c r="BB17" i="9"/>
  <c r="AP17" i="9"/>
  <c r="AZ17" i="9"/>
  <c r="D17" i="9"/>
  <c r="AS17" i="9"/>
  <c r="AY17" i="9"/>
  <c r="A17" i="9"/>
  <c r="AX17" i="9"/>
  <c r="F17" i="9"/>
  <c r="B231" i="4"/>
  <c r="BA17" i="9"/>
  <c r="O13" i="5"/>
  <c r="C230" i="4"/>
  <c r="BF13" i="5"/>
  <c r="Q13" i="5"/>
  <c r="F231" i="4"/>
  <c r="D231" i="4"/>
  <c r="H231" i="4"/>
  <c r="E231" i="4"/>
  <c r="I231" i="4"/>
  <c r="G231" i="4"/>
  <c r="E17" i="9"/>
  <c r="AX18" i="9"/>
  <c r="F18" i="9"/>
  <c r="B232" i="4"/>
  <c r="B19" i="9"/>
  <c r="C18" i="9"/>
  <c r="BB18" i="9"/>
  <c r="AP18" i="9"/>
  <c r="AZ18" i="9"/>
  <c r="D18" i="9"/>
  <c r="AS18" i="9"/>
  <c r="AY18" i="9"/>
  <c r="A18" i="9"/>
  <c r="O14" i="5"/>
  <c r="AM17" i="9"/>
  <c r="AE17" i="9"/>
  <c r="AJ17" i="9"/>
  <c r="AF17" i="9"/>
  <c r="AB17" i="9"/>
  <c r="AK17" i="9"/>
  <c r="AL17" i="9"/>
  <c r="AH17" i="9"/>
  <c r="AD17" i="9"/>
  <c r="C231" i="4"/>
  <c r="E18" i="9"/>
  <c r="B20" i="9"/>
  <c r="C19" i="9"/>
  <c r="BB19" i="9"/>
  <c r="AP19" i="9"/>
  <c r="AZ19" i="9"/>
  <c r="D19" i="9"/>
  <c r="AS19" i="9"/>
  <c r="AY19" i="9"/>
  <c r="A19" i="9"/>
  <c r="AX19" i="9"/>
  <c r="F19" i="9"/>
  <c r="B233" i="4"/>
  <c r="G233" i="4"/>
  <c r="O15" i="5"/>
  <c r="BF14" i="5"/>
  <c r="Q14" i="5"/>
  <c r="BA18" i="9"/>
  <c r="AJ18" i="9"/>
  <c r="AF18" i="9"/>
  <c r="AB18" i="9"/>
  <c r="AK18" i="9"/>
  <c r="AL18" i="9"/>
  <c r="AH18" i="9"/>
  <c r="AD18" i="9"/>
  <c r="AM18" i="9"/>
  <c r="AE18" i="9"/>
  <c r="F232" i="4"/>
  <c r="D232" i="4"/>
  <c r="H232" i="4"/>
  <c r="G232" i="4"/>
  <c r="E232" i="4"/>
  <c r="I232" i="4"/>
  <c r="D233" i="4"/>
  <c r="C232" i="4"/>
  <c r="F233" i="4"/>
  <c r="H233" i="4"/>
  <c r="E19" i="9"/>
  <c r="BB20" i="9"/>
  <c r="AP20" i="9"/>
  <c r="AZ20" i="9"/>
  <c r="D20" i="9"/>
  <c r="AS20" i="9"/>
  <c r="AY20" i="9"/>
  <c r="A20" i="9"/>
  <c r="AX20" i="9"/>
  <c r="BA20" i="9"/>
  <c r="F20" i="9"/>
  <c r="B234" i="4"/>
  <c r="G234" i="4"/>
  <c r="B21" i="9"/>
  <c r="C20" i="9"/>
  <c r="O16" i="5"/>
  <c r="I233" i="4"/>
  <c r="E233" i="4"/>
  <c r="BF15" i="5"/>
  <c r="Q15" i="5"/>
  <c r="BA19" i="9"/>
  <c r="AK19" i="9"/>
  <c r="AL19" i="9"/>
  <c r="AH19" i="9"/>
  <c r="AD19" i="9"/>
  <c r="AM19" i="9"/>
  <c r="AE19" i="9"/>
  <c r="AJ19" i="9"/>
  <c r="AF19" i="9"/>
  <c r="AB19" i="9"/>
  <c r="E234" i="4"/>
  <c r="F234" i="4"/>
  <c r="C233" i="4"/>
  <c r="I234" i="4"/>
  <c r="H234" i="4"/>
  <c r="D234" i="4"/>
  <c r="BF16" i="5"/>
  <c r="Q16" i="5"/>
  <c r="BB21" i="9"/>
  <c r="AP21" i="9"/>
  <c r="AZ21" i="9"/>
  <c r="B22" i="9"/>
  <c r="C21" i="9"/>
  <c r="D21" i="9"/>
  <c r="AX21" i="9"/>
  <c r="F21" i="9"/>
  <c r="B235" i="4"/>
  <c r="E235" i="4"/>
  <c r="AS21" i="9"/>
  <c r="AY21" i="9"/>
  <c r="A21" i="9"/>
  <c r="O17" i="5"/>
  <c r="AJ20" i="9"/>
  <c r="AF20" i="9"/>
  <c r="AB20" i="9"/>
  <c r="AK20" i="9"/>
  <c r="AL20" i="9"/>
  <c r="AH20" i="9"/>
  <c r="AD20" i="9"/>
  <c r="AM20" i="9"/>
  <c r="AE20" i="9"/>
  <c r="E20" i="9"/>
  <c r="C234" i="4"/>
  <c r="D235" i="4"/>
  <c r="I235" i="4"/>
  <c r="G235" i="4"/>
  <c r="H235" i="4"/>
  <c r="F235" i="4"/>
  <c r="BF17" i="5"/>
  <c r="Q17" i="5"/>
  <c r="AJ21" i="9"/>
  <c r="AF21" i="9"/>
  <c r="AB21" i="9"/>
  <c r="AM21" i="9"/>
  <c r="AL21" i="9"/>
  <c r="AH21" i="9"/>
  <c r="AD21" i="9"/>
  <c r="AK21" i="9"/>
  <c r="AE21" i="9"/>
  <c r="BA21" i="9"/>
  <c r="E21" i="9"/>
  <c r="B23" i="9"/>
  <c r="C22" i="9"/>
  <c r="BB22" i="9"/>
  <c r="AP22" i="9"/>
  <c r="AZ22" i="9"/>
  <c r="BA22" i="9"/>
  <c r="D22" i="9"/>
  <c r="AS22" i="9"/>
  <c r="AY22" i="9"/>
  <c r="A22" i="9"/>
  <c r="AX22" i="9"/>
  <c r="F22" i="9"/>
  <c r="B236" i="4"/>
  <c r="G236" i="4"/>
  <c r="O18" i="5"/>
  <c r="C235" i="4"/>
  <c r="D236" i="4"/>
  <c r="H236" i="4"/>
  <c r="Q18" i="5"/>
  <c r="BF18" i="5"/>
  <c r="E22" i="9"/>
  <c r="AX23" i="9"/>
  <c r="F23" i="9"/>
  <c r="B237" i="4"/>
  <c r="D237" i="4"/>
  <c r="B24" i="9"/>
  <c r="C23" i="9"/>
  <c r="BB23" i="9"/>
  <c r="AP23" i="9"/>
  <c r="AZ23" i="9"/>
  <c r="D23" i="9"/>
  <c r="AS23" i="9"/>
  <c r="AY23" i="9"/>
  <c r="A23" i="9"/>
  <c r="O19" i="5"/>
  <c r="E236" i="4"/>
  <c r="I236" i="4"/>
  <c r="F236" i="4"/>
  <c r="AM22" i="9"/>
  <c r="AE22" i="9"/>
  <c r="AJ22" i="9"/>
  <c r="AF22" i="9"/>
  <c r="AB22" i="9"/>
  <c r="AK22" i="9"/>
  <c r="AL22" i="9"/>
  <c r="AH22" i="9"/>
  <c r="AD22" i="9"/>
  <c r="F237" i="4"/>
  <c r="C236" i="4"/>
  <c r="I237" i="4"/>
  <c r="G237" i="4"/>
  <c r="H237" i="4"/>
  <c r="E237" i="4"/>
  <c r="BA23" i="9"/>
  <c r="Q19" i="5"/>
  <c r="BF19" i="5"/>
  <c r="E23" i="9"/>
  <c r="B25" i="9"/>
  <c r="C24" i="9"/>
  <c r="BB24" i="9"/>
  <c r="AP24" i="9"/>
  <c r="AZ24" i="9"/>
  <c r="D24" i="9"/>
  <c r="AS24" i="9"/>
  <c r="AY24" i="9"/>
  <c r="A24" i="9"/>
  <c r="AX24" i="9"/>
  <c r="F24" i="9"/>
  <c r="B238" i="4"/>
  <c r="D238" i="4"/>
  <c r="O20" i="5"/>
  <c r="AJ23" i="9"/>
  <c r="AF23" i="9"/>
  <c r="AB23" i="9"/>
  <c r="AK23" i="9"/>
  <c r="AL23" i="9"/>
  <c r="AH23" i="9"/>
  <c r="AD23" i="9"/>
  <c r="AM23" i="9"/>
  <c r="AE23" i="9"/>
  <c r="G238" i="4"/>
  <c r="F238" i="4"/>
  <c r="C237" i="4"/>
  <c r="E238" i="4"/>
  <c r="I238" i="4"/>
  <c r="H238" i="4"/>
  <c r="BF20" i="5"/>
  <c r="Q20" i="5"/>
  <c r="BA24" i="9"/>
  <c r="AK24" i="9"/>
  <c r="AL24" i="9"/>
  <c r="AH24" i="9"/>
  <c r="AD24" i="9"/>
  <c r="AM24" i="9"/>
  <c r="AE24" i="9"/>
  <c r="AJ24" i="9"/>
  <c r="AF24" i="9"/>
  <c r="AB24" i="9"/>
  <c r="E24" i="9"/>
  <c r="BB25" i="9"/>
  <c r="AP25" i="9"/>
  <c r="AZ25" i="9"/>
  <c r="D25" i="9"/>
  <c r="AS25" i="9"/>
  <c r="AY25" i="9"/>
  <c r="A25" i="9"/>
  <c r="AX25" i="9"/>
  <c r="F25" i="9"/>
  <c r="B239" i="4"/>
  <c r="E239" i="4"/>
  <c r="B26" i="9"/>
  <c r="C25" i="9"/>
  <c r="O21" i="5"/>
  <c r="G239" i="4"/>
  <c r="C238" i="4"/>
  <c r="I239" i="4"/>
  <c r="D239" i="4"/>
  <c r="F239" i="4"/>
  <c r="BF21" i="5"/>
  <c r="Q21" i="5"/>
  <c r="B27" i="9"/>
  <c r="C26" i="9"/>
  <c r="BB26" i="9"/>
  <c r="AP26" i="9"/>
  <c r="AZ26" i="9"/>
  <c r="D26" i="9"/>
  <c r="AS26" i="9"/>
  <c r="AY26" i="9"/>
  <c r="A26" i="9"/>
  <c r="AX26" i="9"/>
  <c r="F26" i="9"/>
  <c r="B240" i="4"/>
  <c r="G240" i="4"/>
  <c r="O22" i="5"/>
  <c r="BA25" i="9"/>
  <c r="H239" i="4"/>
  <c r="AJ25" i="9"/>
  <c r="AF25" i="9"/>
  <c r="AB25" i="9"/>
  <c r="AK25" i="9"/>
  <c r="AL25" i="9"/>
  <c r="AH25" i="9"/>
  <c r="AD25" i="9"/>
  <c r="AM25" i="9"/>
  <c r="AE25" i="9"/>
  <c r="E25" i="9"/>
  <c r="C239" i="4"/>
  <c r="BA26" i="9"/>
  <c r="D240" i="4"/>
  <c r="E240" i="4"/>
  <c r="I240" i="4"/>
  <c r="F240" i="4"/>
  <c r="H240" i="4"/>
  <c r="AM26" i="9"/>
  <c r="AE26" i="9"/>
  <c r="AJ26" i="9"/>
  <c r="AF26" i="9"/>
  <c r="AB26" i="9"/>
  <c r="AK26" i="9"/>
  <c r="AL26" i="9"/>
  <c r="AH26" i="9"/>
  <c r="AD26" i="9"/>
  <c r="BF22" i="5"/>
  <c r="Q22" i="5"/>
  <c r="E26" i="9"/>
  <c r="AX27" i="9"/>
  <c r="F27" i="9"/>
  <c r="B241" i="4"/>
  <c r="D241" i="4"/>
  <c r="B28" i="9"/>
  <c r="C27" i="9"/>
  <c r="BB27" i="9"/>
  <c r="AP27" i="9"/>
  <c r="AZ27" i="9"/>
  <c r="D27" i="9"/>
  <c r="AS27" i="9"/>
  <c r="AY27" i="9"/>
  <c r="A27" i="9"/>
  <c r="O23" i="5"/>
  <c r="G241" i="4"/>
  <c r="C240" i="4"/>
  <c r="F241" i="4"/>
  <c r="BA27" i="9"/>
  <c r="AJ27" i="9"/>
  <c r="AF27" i="9"/>
  <c r="AB27" i="9"/>
  <c r="AK27" i="9"/>
  <c r="AL27" i="9"/>
  <c r="AH27" i="9"/>
  <c r="AD27" i="9"/>
  <c r="AM27" i="9"/>
  <c r="AE27" i="9"/>
  <c r="I241" i="4"/>
  <c r="E241" i="4"/>
  <c r="H241" i="4"/>
  <c r="BF23" i="5"/>
  <c r="Q23" i="5"/>
  <c r="E27" i="9"/>
  <c r="BB28" i="9"/>
  <c r="AP28" i="9"/>
  <c r="AZ28" i="9"/>
  <c r="AS28" i="9"/>
  <c r="AY28" i="9"/>
  <c r="A28" i="9"/>
  <c r="D28" i="9"/>
  <c r="AX28" i="9"/>
  <c r="B29" i="9"/>
  <c r="C28" i="9"/>
  <c r="F28" i="9"/>
  <c r="B242" i="4"/>
  <c r="O24" i="5"/>
  <c r="C241" i="4"/>
  <c r="H242" i="4"/>
  <c r="D242" i="4"/>
  <c r="F242" i="4"/>
  <c r="B30" i="9"/>
  <c r="C29" i="9"/>
  <c r="BB29" i="9"/>
  <c r="AP29" i="9"/>
  <c r="AZ29" i="9"/>
  <c r="D29" i="9"/>
  <c r="AS29" i="9"/>
  <c r="AY29" i="9"/>
  <c r="H243" i="4"/>
  <c r="A29" i="9"/>
  <c r="AX29" i="9"/>
  <c r="F29" i="9"/>
  <c r="B243" i="4"/>
  <c r="O25" i="5"/>
  <c r="E28" i="9"/>
  <c r="G242" i="4"/>
  <c r="E242" i="4"/>
  <c r="I242" i="4"/>
  <c r="BF24" i="5"/>
  <c r="Q24" i="5"/>
  <c r="AJ28" i="9"/>
  <c r="AF28" i="9"/>
  <c r="AB28" i="9"/>
  <c r="AM28" i="9"/>
  <c r="AL28" i="9"/>
  <c r="AH28" i="9"/>
  <c r="AD28" i="9"/>
  <c r="AK28" i="9"/>
  <c r="AE28" i="9"/>
  <c r="BA28" i="9"/>
  <c r="I243" i="4"/>
  <c r="E243" i="4"/>
  <c r="F243" i="4"/>
  <c r="C242" i="4"/>
  <c r="E29" i="9"/>
  <c r="AX30" i="9"/>
  <c r="F30" i="9"/>
  <c r="B244" i="4"/>
  <c r="B31" i="9"/>
  <c r="A30" i="9"/>
  <c r="BB30" i="9"/>
  <c r="AP30" i="9"/>
  <c r="AZ30" i="9"/>
  <c r="D30" i="9"/>
  <c r="AS30" i="9"/>
  <c r="AY30" i="9"/>
  <c r="C30" i="9"/>
  <c r="O26" i="5"/>
  <c r="G243" i="4"/>
  <c r="D243" i="4"/>
  <c r="Q25" i="5"/>
  <c r="BF25" i="5"/>
  <c r="BA29" i="9"/>
  <c r="AM29" i="9"/>
  <c r="AE29" i="9"/>
  <c r="AH29" i="9"/>
  <c r="AL29" i="9"/>
  <c r="AB29" i="9"/>
  <c r="AK29" i="9"/>
  <c r="AJ29" i="9"/>
  <c r="AF29" i="9"/>
  <c r="AD29" i="9"/>
  <c r="C243" i="4"/>
  <c r="F244" i="4"/>
  <c r="E244" i="4"/>
  <c r="BA30" i="9"/>
  <c r="H244" i="4"/>
  <c r="Q26" i="5"/>
  <c r="BF26" i="5"/>
  <c r="I244" i="4"/>
  <c r="G244" i="4"/>
  <c r="D244" i="4"/>
  <c r="AL30" i="9"/>
  <c r="AH30" i="9"/>
  <c r="AD30" i="9"/>
  <c r="AK30" i="9"/>
  <c r="AE30" i="9"/>
  <c r="AJ30" i="9"/>
  <c r="AF30" i="9"/>
  <c r="AB30" i="9"/>
  <c r="AM30" i="9"/>
  <c r="E30" i="9"/>
  <c r="AS31" i="9"/>
  <c r="AY31" i="9"/>
  <c r="A31" i="9"/>
  <c r="AX31" i="9"/>
  <c r="F31" i="9"/>
  <c r="B245" i="4"/>
  <c r="D245" i="4"/>
  <c r="B32" i="9"/>
  <c r="C31" i="9"/>
  <c r="BB31" i="9"/>
  <c r="AP31" i="9"/>
  <c r="AZ31" i="9"/>
  <c r="D31" i="9"/>
  <c r="O27" i="5"/>
  <c r="G245" i="4"/>
  <c r="I245" i="4"/>
  <c r="C244" i="4"/>
  <c r="H245" i="4"/>
  <c r="F245" i="4"/>
  <c r="E245" i="4"/>
  <c r="E31" i="9"/>
  <c r="AX32" i="9"/>
  <c r="F32" i="9"/>
  <c r="B246" i="4"/>
  <c r="G246" i="4"/>
  <c r="B33" i="9"/>
  <c r="A32" i="9"/>
  <c r="BB32" i="9"/>
  <c r="AP32" i="9"/>
  <c r="AZ32" i="9"/>
  <c r="D32" i="9"/>
  <c r="AS32" i="9"/>
  <c r="AY32" i="9"/>
  <c r="C32" i="9"/>
  <c r="O28" i="5"/>
  <c r="Q27" i="5"/>
  <c r="BF27" i="5"/>
  <c r="BA31" i="9"/>
  <c r="AM31" i="9"/>
  <c r="AE31" i="9"/>
  <c r="AH31" i="9"/>
  <c r="AL31" i="9"/>
  <c r="AB31" i="9"/>
  <c r="AK31" i="9"/>
  <c r="AJ31" i="9"/>
  <c r="AF31" i="9"/>
  <c r="AD31" i="9"/>
  <c r="D246" i="4"/>
  <c r="C245" i="4"/>
  <c r="BA32" i="9"/>
  <c r="H246" i="4"/>
  <c r="I246" i="4"/>
  <c r="F246" i="4"/>
  <c r="E246" i="4"/>
  <c r="Q28" i="5"/>
  <c r="BF28" i="5"/>
  <c r="AJ32" i="9"/>
  <c r="AF32" i="9"/>
  <c r="AB32" i="9"/>
  <c r="AK32" i="9"/>
  <c r="AL32" i="9"/>
  <c r="AH32" i="9"/>
  <c r="AD32" i="9"/>
  <c r="AM32" i="9"/>
  <c r="AE32" i="9"/>
  <c r="E32" i="9"/>
  <c r="B34" i="9"/>
  <c r="C33" i="9"/>
  <c r="BB33" i="9"/>
  <c r="AP33" i="9"/>
  <c r="AZ33" i="9"/>
  <c r="D33" i="9"/>
  <c r="AS33" i="9"/>
  <c r="AY33" i="9"/>
  <c r="A33" i="9"/>
  <c r="AX33" i="9"/>
  <c r="F33" i="9"/>
  <c r="B247" i="4"/>
  <c r="E247" i="4"/>
  <c r="O29" i="5"/>
  <c r="C246" i="4"/>
  <c r="H247" i="4"/>
  <c r="G247" i="4"/>
  <c r="F247" i="4"/>
  <c r="D247" i="4"/>
  <c r="I247" i="4"/>
  <c r="Q29" i="5"/>
  <c r="BF29" i="5"/>
  <c r="BA33" i="9"/>
  <c r="AK33" i="9"/>
  <c r="AL33" i="9"/>
  <c r="AH33" i="9"/>
  <c r="AD33" i="9"/>
  <c r="AM33" i="9"/>
  <c r="AE33" i="9"/>
  <c r="AJ33" i="9"/>
  <c r="AF33" i="9"/>
  <c r="AB33" i="9"/>
  <c r="E33" i="9"/>
  <c r="BB34" i="9"/>
  <c r="AP34" i="9"/>
  <c r="AZ34" i="9"/>
  <c r="D34" i="9"/>
  <c r="AS34" i="9"/>
  <c r="AY34" i="9"/>
  <c r="A34" i="9"/>
  <c r="AX34" i="9"/>
  <c r="F34" i="9"/>
  <c r="B248" i="4"/>
  <c r="E248" i="4"/>
  <c r="B35" i="9"/>
  <c r="C34" i="9"/>
  <c r="O30" i="5"/>
  <c r="C247" i="4"/>
  <c r="I248" i="4"/>
  <c r="F248" i="4"/>
  <c r="AJ34" i="9"/>
  <c r="AF34" i="9"/>
  <c r="AB34" i="9"/>
  <c r="AK34" i="9"/>
  <c r="AL34" i="9"/>
  <c r="AH34" i="9"/>
  <c r="AD34" i="9"/>
  <c r="AM34" i="9"/>
  <c r="AE34" i="9"/>
  <c r="E34" i="9"/>
  <c r="H248" i="4"/>
  <c r="D248" i="4"/>
  <c r="G248" i="4"/>
  <c r="Q30" i="5"/>
  <c r="BF30" i="5"/>
  <c r="BB35" i="9"/>
  <c r="AP35" i="9"/>
  <c r="AZ35" i="9"/>
  <c r="AS35" i="9"/>
  <c r="AY35" i="9"/>
  <c r="A35" i="9"/>
  <c r="F35" i="9"/>
  <c r="B249" i="4"/>
  <c r="AX35" i="9"/>
  <c r="B36" i="9"/>
  <c r="C35" i="9"/>
  <c r="D35" i="9"/>
  <c r="O31" i="5"/>
  <c r="BA34" i="9"/>
  <c r="I249" i="4"/>
  <c r="C248" i="4"/>
  <c r="H249" i="4"/>
  <c r="D249" i="4"/>
  <c r="BA35" i="9"/>
  <c r="BF31" i="5"/>
  <c r="Q31" i="5"/>
  <c r="B37" i="9"/>
  <c r="C36" i="9"/>
  <c r="BB36" i="9"/>
  <c r="AP36" i="9"/>
  <c r="AZ36" i="9"/>
  <c r="D36" i="9"/>
  <c r="AS36" i="9"/>
  <c r="AY36" i="9"/>
  <c r="A36" i="9"/>
  <c r="AX36" i="9"/>
  <c r="F36" i="9"/>
  <c r="B250" i="4"/>
  <c r="D250" i="4"/>
  <c r="O32" i="5"/>
  <c r="E249" i="4"/>
  <c r="F249" i="4"/>
  <c r="G249" i="4"/>
  <c r="E35" i="9"/>
  <c r="AJ35" i="9"/>
  <c r="AF35" i="9"/>
  <c r="AB35" i="9"/>
  <c r="AM35" i="9"/>
  <c r="AL35" i="9"/>
  <c r="AH35" i="9"/>
  <c r="AD35" i="9"/>
  <c r="AK35" i="9"/>
  <c r="AE35" i="9"/>
  <c r="C249" i="4"/>
  <c r="F250" i="4"/>
  <c r="H250" i="4"/>
  <c r="E36" i="9"/>
  <c r="BB37" i="9"/>
  <c r="AP37" i="9"/>
  <c r="AZ37" i="9"/>
  <c r="D37" i="9"/>
  <c r="AS37" i="9"/>
  <c r="AY37" i="9"/>
  <c r="C37" i="9"/>
  <c r="AX37" i="9"/>
  <c r="F37" i="9"/>
  <c r="B251" i="4"/>
  <c r="E251" i="4"/>
  <c r="B38" i="9"/>
  <c r="K42" i="9"/>
  <c r="A37" i="9"/>
  <c r="O33" i="5"/>
  <c r="G250" i="4"/>
  <c r="E250" i="4"/>
  <c r="I250" i="4"/>
  <c r="Q32" i="5"/>
  <c r="BF32" i="5"/>
  <c r="BA36" i="9"/>
  <c r="AK36" i="9"/>
  <c r="AJ36" i="9"/>
  <c r="AF36" i="9"/>
  <c r="AD36" i="9"/>
  <c r="AM36" i="9"/>
  <c r="AE36" i="9"/>
  <c r="AH36" i="9"/>
  <c r="AL36" i="9"/>
  <c r="AB36" i="9"/>
  <c r="I251" i="4"/>
  <c r="G251" i="4"/>
  <c r="C250" i="4"/>
  <c r="BA37" i="9"/>
  <c r="D251" i="4"/>
  <c r="AJ37" i="9"/>
  <c r="AF37" i="9"/>
  <c r="AB37" i="9"/>
  <c r="AM37" i="9"/>
  <c r="AL37" i="9"/>
  <c r="AH37" i="9"/>
  <c r="AD37" i="9"/>
  <c r="AK37" i="9"/>
  <c r="AE37" i="9"/>
  <c r="E37" i="9"/>
  <c r="V37" i="9"/>
  <c r="W37" i="9"/>
  <c r="P33" i="5" s="1"/>
  <c r="H251" i="4"/>
  <c r="F251" i="4"/>
  <c r="BF33" i="5"/>
  <c r="Q33" i="5"/>
  <c r="B8" i="10"/>
  <c r="C38" i="9"/>
  <c r="BB38" i="9"/>
  <c r="AP38" i="9"/>
  <c r="AZ38" i="9"/>
  <c r="D38" i="9"/>
  <c r="AS38" i="9"/>
  <c r="AY38" i="9"/>
  <c r="H252" i="4"/>
  <c r="A38" i="9"/>
  <c r="AX38" i="9"/>
  <c r="F38" i="9"/>
  <c r="B252" i="4"/>
  <c r="D252" i="4"/>
  <c r="O34" i="5"/>
  <c r="G252" i="4"/>
  <c r="I252" i="4"/>
  <c r="C251" i="4"/>
  <c r="E252" i="4"/>
  <c r="E253" i="4"/>
  <c r="R4" i="5"/>
  <c r="T4" i="5"/>
  <c r="F252" i="4"/>
  <c r="F253" i="4"/>
  <c r="Q34" i="5"/>
  <c r="BF34" i="5"/>
  <c r="BA38" i="9"/>
  <c r="AK38" i="9"/>
  <c r="AK40" i="9"/>
  <c r="AK41" i="9"/>
  <c r="AK39" i="10"/>
  <c r="AJ38" i="9"/>
  <c r="AJ40" i="9"/>
  <c r="AJ41" i="9"/>
  <c r="AJ39" i="10"/>
  <c r="AF38" i="9"/>
  <c r="AF40" i="9"/>
  <c r="AF41" i="9"/>
  <c r="AF39" i="10"/>
  <c r="AD38" i="9"/>
  <c r="AD40" i="9"/>
  <c r="AD41" i="9"/>
  <c r="AD39" i="10"/>
  <c r="AM38" i="9"/>
  <c r="AM40" i="9"/>
  <c r="AM41" i="9"/>
  <c r="AM39" i="10"/>
  <c r="AE38" i="9"/>
  <c r="AE40" i="9"/>
  <c r="AE41" i="9"/>
  <c r="AE39" i="10"/>
  <c r="AH38" i="9"/>
  <c r="AH40" i="9"/>
  <c r="AH41" i="9"/>
  <c r="AH39" i="10"/>
  <c r="AL38" i="9"/>
  <c r="AL40" i="9"/>
  <c r="AL41" i="9"/>
  <c r="AL39" i="10"/>
  <c r="AB38" i="9"/>
  <c r="AB40" i="9"/>
  <c r="M251" i="4"/>
  <c r="J251" i="4"/>
  <c r="E38" i="9"/>
  <c r="E4" i="10"/>
  <c r="BB8" i="10"/>
  <c r="F8" i="10"/>
  <c r="B274" i="4"/>
  <c r="E274" i="4"/>
  <c r="B9" i="10"/>
  <c r="C8" i="10"/>
  <c r="AX8" i="10"/>
  <c r="D8" i="10"/>
  <c r="AS8" i="10"/>
  <c r="AY8" i="10"/>
  <c r="A8" i="10"/>
  <c r="AP8" i="10"/>
  <c r="AZ8" i="10"/>
  <c r="I274" i="4"/>
  <c r="G253" i="4"/>
  <c r="C252" i="4"/>
  <c r="H253" i="4"/>
  <c r="BJ4" i="5"/>
  <c r="BA8" i="10"/>
  <c r="C274" i="4"/>
  <c r="D274" i="4"/>
  <c r="D268" i="4"/>
  <c r="G274" i="4"/>
  <c r="H274" i="4"/>
  <c r="F274" i="4"/>
  <c r="B10" i="10"/>
  <c r="R6" i="5"/>
  <c r="C9" i="10"/>
  <c r="BB9" i="10"/>
  <c r="AP9" i="10"/>
  <c r="AZ9" i="10"/>
  <c r="D9" i="10"/>
  <c r="A9" i="10"/>
  <c r="F9" i="10"/>
  <c r="B275" i="4"/>
  <c r="G275" i="4"/>
  <c r="AS9" i="10"/>
  <c r="AY9" i="10"/>
  <c r="AX9" i="10"/>
  <c r="K40" i="9"/>
  <c r="AB41" i="9"/>
  <c r="R5" i="5"/>
  <c r="BJ5" i="5"/>
  <c r="E8" i="10"/>
  <c r="AJ8" i="10"/>
  <c r="AF8" i="10"/>
  <c r="AB8" i="10"/>
  <c r="AK8" i="10"/>
  <c r="AH8" i="10"/>
  <c r="AM8" i="10"/>
  <c r="AL8" i="10"/>
  <c r="AD8" i="10"/>
  <c r="AE8" i="10"/>
  <c r="F275" i="4"/>
  <c r="E275" i="4"/>
  <c r="K41" i="9"/>
  <c r="AB39" i="10"/>
  <c r="K39" i="10"/>
  <c r="I275" i="4"/>
  <c r="BA9" i="10"/>
  <c r="E9" i="10"/>
  <c r="AX10" i="10"/>
  <c r="F10" i="10"/>
  <c r="B276" i="4"/>
  <c r="D276" i="4"/>
  <c r="B11" i="10"/>
  <c r="R7" i="5"/>
  <c r="BJ7" i="5"/>
  <c r="C10" i="10"/>
  <c r="BB10" i="10"/>
  <c r="AP10" i="10"/>
  <c r="AZ10" i="10"/>
  <c r="D10" i="10"/>
  <c r="AS10" i="10"/>
  <c r="AY10" i="10"/>
  <c r="A10" i="10"/>
  <c r="C275" i="4"/>
  <c r="D275" i="4"/>
  <c r="H275" i="4"/>
  <c r="T5" i="5"/>
  <c r="AM9" i="10"/>
  <c r="AE9" i="10"/>
  <c r="AJ9" i="10"/>
  <c r="AF9" i="10"/>
  <c r="AB9" i="10"/>
  <c r="AK9" i="10"/>
  <c r="AL9" i="10"/>
  <c r="AH9" i="10"/>
  <c r="AD9" i="10"/>
  <c r="T6" i="5"/>
  <c r="BJ6" i="5"/>
  <c r="G276" i="4"/>
  <c r="H276" i="4"/>
  <c r="I276" i="4"/>
  <c r="C276" i="4"/>
  <c r="E276" i="4"/>
  <c r="BA10" i="10"/>
  <c r="E10" i="10"/>
  <c r="AS11" i="10"/>
  <c r="AY11" i="10"/>
  <c r="A11" i="10"/>
  <c r="AX11" i="10"/>
  <c r="F11" i="10"/>
  <c r="B277" i="4"/>
  <c r="B12" i="10"/>
  <c r="C11" i="10"/>
  <c r="BB11" i="10"/>
  <c r="AP11" i="10"/>
  <c r="AZ11" i="10"/>
  <c r="D11" i="10"/>
  <c r="F276" i="4"/>
  <c r="AL10" i="10"/>
  <c r="AH10" i="10"/>
  <c r="AD10" i="10"/>
  <c r="AM10" i="10"/>
  <c r="AE10" i="10"/>
  <c r="AJ10" i="10"/>
  <c r="AF10" i="10"/>
  <c r="AB10" i="10"/>
  <c r="AK10" i="10"/>
  <c r="T7" i="5"/>
  <c r="G277" i="4"/>
  <c r="H277" i="4"/>
  <c r="C277" i="4"/>
  <c r="E277" i="4"/>
  <c r="I277" i="4"/>
  <c r="D277" i="4"/>
  <c r="BA11" i="10"/>
  <c r="E11" i="10"/>
  <c r="BB12" i="10"/>
  <c r="AP12" i="10"/>
  <c r="AZ12" i="10"/>
  <c r="D12" i="10"/>
  <c r="AS12" i="10"/>
  <c r="AY12" i="10"/>
  <c r="A12" i="10"/>
  <c r="AX12" i="10"/>
  <c r="F12" i="10"/>
  <c r="B278" i="4"/>
  <c r="B13" i="10"/>
  <c r="R9" i="5"/>
  <c r="BJ9" i="5"/>
  <c r="C12" i="10"/>
  <c r="F277" i="4"/>
  <c r="R8" i="5"/>
  <c r="BJ8" i="5"/>
  <c r="AK11" i="10"/>
  <c r="AL11" i="10"/>
  <c r="AH11" i="10"/>
  <c r="AD11" i="10"/>
  <c r="AM11" i="10"/>
  <c r="AE11" i="10"/>
  <c r="AJ11" i="10"/>
  <c r="AF11" i="10"/>
  <c r="AB11" i="10"/>
  <c r="T8" i="5"/>
  <c r="I278" i="4"/>
  <c r="D278" i="4"/>
  <c r="E278" i="4"/>
  <c r="BA12" i="10"/>
  <c r="F278" i="4"/>
  <c r="AL12" i="10"/>
  <c r="AH12" i="10"/>
  <c r="AD12" i="10"/>
  <c r="AM12" i="10"/>
  <c r="AE12" i="10"/>
  <c r="AJ12" i="10"/>
  <c r="AF12" i="10"/>
  <c r="AB12" i="10"/>
  <c r="AK12" i="10"/>
  <c r="E12" i="10"/>
  <c r="C278" i="4"/>
  <c r="G278" i="4"/>
  <c r="H278" i="4"/>
  <c r="AX13" i="10"/>
  <c r="C13" i="10"/>
  <c r="B14" i="10"/>
  <c r="R10" i="5"/>
  <c r="BJ10" i="5"/>
  <c r="F13" i="10"/>
  <c r="B279" i="4"/>
  <c r="G279" i="4"/>
  <c r="BB13" i="10"/>
  <c r="AP13" i="10"/>
  <c r="AZ13" i="10"/>
  <c r="A13" i="10"/>
  <c r="AS13" i="10"/>
  <c r="AY13" i="10"/>
  <c r="D13" i="10"/>
  <c r="T9" i="5"/>
  <c r="H279" i="4"/>
  <c r="I279" i="4"/>
  <c r="BA13" i="10"/>
  <c r="F279" i="4"/>
  <c r="AJ13" i="10"/>
  <c r="AE13" i="10"/>
  <c r="AH13" i="10"/>
  <c r="AD13" i="10"/>
  <c r="AL13" i="10"/>
  <c r="AM13" i="10"/>
  <c r="AK13" i="10"/>
  <c r="AF13" i="10"/>
  <c r="AB13" i="10"/>
  <c r="C279" i="4"/>
  <c r="D279" i="4"/>
  <c r="E279" i="4"/>
  <c r="E13" i="10"/>
  <c r="B15" i="10"/>
  <c r="R11" i="5"/>
  <c r="BJ11" i="5"/>
  <c r="C14" i="10"/>
  <c r="D14" i="10"/>
  <c r="AX14" i="10"/>
  <c r="F14" i="10"/>
  <c r="B280" i="4"/>
  <c r="I280" i="4"/>
  <c r="AS14" i="10"/>
  <c r="AY14" i="10"/>
  <c r="A14" i="10"/>
  <c r="BB14" i="10"/>
  <c r="AP14" i="10"/>
  <c r="AZ14" i="10"/>
  <c r="T10" i="5"/>
  <c r="E280" i="4"/>
  <c r="C280" i="4"/>
  <c r="BA14" i="10"/>
  <c r="H280" i="4"/>
  <c r="F280" i="4"/>
  <c r="E14" i="10"/>
  <c r="AX15" i="10"/>
  <c r="F15" i="10"/>
  <c r="B281" i="4"/>
  <c r="I281" i="4"/>
  <c r="C15" i="10"/>
  <c r="AS15" i="10"/>
  <c r="AY15" i="10"/>
  <c r="BB15" i="10"/>
  <c r="AP15" i="10"/>
  <c r="AZ15" i="10"/>
  <c r="D15" i="10"/>
  <c r="B16" i="10"/>
  <c r="A15" i="10"/>
  <c r="G280" i="4"/>
  <c r="D280" i="4"/>
  <c r="AM14" i="10"/>
  <c r="AE14" i="10"/>
  <c r="AD14" i="10"/>
  <c r="AJ14" i="10"/>
  <c r="AF14" i="10"/>
  <c r="AK14" i="10"/>
  <c r="AL14" i="10"/>
  <c r="AB14" i="10"/>
  <c r="AH14" i="10"/>
  <c r="R12" i="5"/>
  <c r="BJ12" i="5"/>
  <c r="T11" i="5"/>
  <c r="D281" i="4"/>
  <c r="BA15" i="10"/>
  <c r="F281" i="4"/>
  <c r="E281" i="4"/>
  <c r="AS16" i="10"/>
  <c r="AY16" i="10"/>
  <c r="A16" i="10"/>
  <c r="BB16" i="10"/>
  <c r="AP16" i="10"/>
  <c r="AZ16" i="10"/>
  <c r="B17" i="10"/>
  <c r="R13" i="5"/>
  <c r="BJ13" i="5"/>
  <c r="C16" i="10"/>
  <c r="D16" i="10"/>
  <c r="AX16" i="10"/>
  <c r="F16" i="10"/>
  <c r="B282" i="4"/>
  <c r="E282" i="4"/>
  <c r="C281" i="4"/>
  <c r="G281" i="4"/>
  <c r="H281" i="4"/>
  <c r="V15" i="10"/>
  <c r="W15" i="10" s="1"/>
  <c r="E15" i="10"/>
  <c r="AL15" i="10"/>
  <c r="AH15" i="10"/>
  <c r="AD15" i="10"/>
  <c r="AM15" i="10"/>
  <c r="AK15" i="10"/>
  <c r="AJ15" i="10"/>
  <c r="AF15" i="10"/>
  <c r="AB15" i="10"/>
  <c r="AE15" i="10"/>
  <c r="T12" i="5"/>
  <c r="G282" i="4"/>
  <c r="C282" i="4"/>
  <c r="BA16" i="10"/>
  <c r="D282" i="4"/>
  <c r="I282" i="4"/>
  <c r="H282" i="4"/>
  <c r="F282" i="4"/>
  <c r="AK16" i="10"/>
  <c r="AL16" i="10"/>
  <c r="AB16" i="10"/>
  <c r="AH16" i="10"/>
  <c r="AM16" i="10"/>
  <c r="AE16" i="10"/>
  <c r="AD16" i="10"/>
  <c r="AJ16" i="10"/>
  <c r="AF16" i="10"/>
  <c r="E16" i="10"/>
  <c r="V16" i="10"/>
  <c r="W16" i="10"/>
  <c r="S12" i="5" s="1"/>
  <c r="BB17" i="10"/>
  <c r="AP17" i="10"/>
  <c r="AZ17" i="10"/>
  <c r="D17" i="10"/>
  <c r="C17" i="10"/>
  <c r="AS17" i="10"/>
  <c r="AY17" i="10"/>
  <c r="AX17" i="10"/>
  <c r="F17" i="10"/>
  <c r="B283" i="4"/>
  <c r="E283" i="4"/>
  <c r="B18" i="10"/>
  <c r="A17" i="10"/>
  <c r="T13" i="5"/>
  <c r="H283" i="4"/>
  <c r="D283" i="4"/>
  <c r="F283" i="4"/>
  <c r="J282" i="4"/>
  <c r="BA17" i="10"/>
  <c r="B19" i="10"/>
  <c r="C18" i="10"/>
  <c r="D18" i="10"/>
  <c r="AX18" i="10"/>
  <c r="F18" i="10"/>
  <c r="B284" i="4"/>
  <c r="I284" i="4"/>
  <c r="AS18" i="10"/>
  <c r="AY18" i="10"/>
  <c r="BA18" i="10"/>
  <c r="A18" i="10"/>
  <c r="BB18" i="10"/>
  <c r="AP18" i="10"/>
  <c r="AZ18" i="10"/>
  <c r="E17" i="10"/>
  <c r="V17" i="10"/>
  <c r="W17" i="10" s="1"/>
  <c r="C283" i="4"/>
  <c r="I283" i="4"/>
  <c r="G283" i="4"/>
  <c r="R14" i="5"/>
  <c r="BJ14" i="5"/>
  <c r="AL17" i="10"/>
  <c r="AH17" i="10"/>
  <c r="AD17" i="10"/>
  <c r="AM17" i="10"/>
  <c r="AK17" i="10"/>
  <c r="AJ17" i="10"/>
  <c r="AF17" i="10"/>
  <c r="AB17" i="10"/>
  <c r="AE17" i="10"/>
  <c r="R15" i="5"/>
  <c r="BJ15" i="5"/>
  <c r="G284" i="4"/>
  <c r="D284" i="4"/>
  <c r="E284" i="4"/>
  <c r="H284" i="4"/>
  <c r="F284" i="4"/>
  <c r="AM18" i="10"/>
  <c r="AE18" i="10"/>
  <c r="AD18" i="10"/>
  <c r="AJ18" i="10"/>
  <c r="AF18" i="10"/>
  <c r="AK18" i="10"/>
  <c r="AL18" i="10"/>
  <c r="AB18" i="10"/>
  <c r="AH18" i="10"/>
  <c r="T14" i="5"/>
  <c r="E18" i="10"/>
  <c r="AX19" i="10"/>
  <c r="F19" i="10"/>
  <c r="B285" i="4"/>
  <c r="E285" i="4"/>
  <c r="C19" i="10"/>
  <c r="AS19" i="10"/>
  <c r="AY19" i="10"/>
  <c r="BB19" i="10"/>
  <c r="AP19" i="10"/>
  <c r="AZ19" i="10"/>
  <c r="D19" i="10"/>
  <c r="B20" i="10"/>
  <c r="A19" i="10"/>
  <c r="T15" i="5"/>
  <c r="R16" i="5"/>
  <c r="BJ16" i="5"/>
  <c r="C284" i="4"/>
  <c r="I285" i="4"/>
  <c r="BA19" i="10"/>
  <c r="F285" i="4"/>
  <c r="H285" i="4"/>
  <c r="AS20" i="10"/>
  <c r="AY20" i="10"/>
  <c r="A20" i="10"/>
  <c r="BB20" i="10"/>
  <c r="AP20" i="10"/>
  <c r="AZ20" i="10"/>
  <c r="B21" i="10"/>
  <c r="R17" i="5"/>
  <c r="BJ17" i="5"/>
  <c r="C20" i="10"/>
  <c r="D20" i="10"/>
  <c r="AX20" i="10"/>
  <c r="F20" i="10"/>
  <c r="B286" i="4"/>
  <c r="E286" i="4"/>
  <c r="D285" i="4"/>
  <c r="G285" i="4"/>
  <c r="E19" i="10"/>
  <c r="AL19" i="10"/>
  <c r="AH19" i="10"/>
  <c r="AD19" i="10"/>
  <c r="AM19" i="10"/>
  <c r="AK19" i="10"/>
  <c r="AJ19" i="10"/>
  <c r="AF19" i="10"/>
  <c r="AB19" i="10"/>
  <c r="AE19" i="10"/>
  <c r="T16" i="5"/>
  <c r="I286" i="4"/>
  <c r="G286" i="4"/>
  <c r="C285" i="4"/>
  <c r="BA20" i="10"/>
  <c r="H286" i="4"/>
  <c r="D286" i="4"/>
  <c r="F286" i="4"/>
  <c r="AK20" i="10"/>
  <c r="AL20" i="10"/>
  <c r="AB20" i="10"/>
  <c r="AH20" i="10"/>
  <c r="AM20" i="10"/>
  <c r="AE20" i="10"/>
  <c r="AD20" i="10"/>
  <c r="AJ20" i="10"/>
  <c r="AF20" i="10"/>
  <c r="E20" i="10"/>
  <c r="BB21" i="10"/>
  <c r="AP21" i="10"/>
  <c r="AZ21" i="10"/>
  <c r="D21" i="10"/>
  <c r="B22" i="10"/>
  <c r="R18" i="5"/>
  <c r="BJ18" i="5"/>
  <c r="A21" i="10"/>
  <c r="AX21" i="10"/>
  <c r="F21" i="10"/>
  <c r="B287" i="4"/>
  <c r="G287" i="4"/>
  <c r="C21" i="10"/>
  <c r="AS21" i="10"/>
  <c r="AY21" i="10"/>
  <c r="T17" i="5"/>
  <c r="C286" i="4"/>
  <c r="H287" i="4"/>
  <c r="D287" i="4"/>
  <c r="I287" i="4"/>
  <c r="E21" i="10"/>
  <c r="F287" i="4"/>
  <c r="E287" i="4"/>
  <c r="AJ21" i="10"/>
  <c r="AF21" i="10"/>
  <c r="AB21" i="10"/>
  <c r="AE21" i="10"/>
  <c r="AL21" i="10"/>
  <c r="AH21" i="10"/>
  <c r="AD21" i="10"/>
  <c r="AM21" i="10"/>
  <c r="AK21" i="10"/>
  <c r="B23" i="10"/>
  <c r="C22" i="10"/>
  <c r="D22" i="10"/>
  <c r="AX22" i="10"/>
  <c r="F22" i="10"/>
  <c r="B288" i="4"/>
  <c r="G288" i="4"/>
  <c r="AS22" i="10"/>
  <c r="AY22" i="10"/>
  <c r="A22" i="10"/>
  <c r="BB22" i="10"/>
  <c r="AP22" i="10"/>
  <c r="AZ22" i="10"/>
  <c r="BA21" i="10"/>
  <c r="T18" i="5"/>
  <c r="C287" i="4"/>
  <c r="H288" i="4"/>
  <c r="E288" i="4"/>
  <c r="I288" i="4"/>
  <c r="E22" i="10"/>
  <c r="AX23" i="10"/>
  <c r="F23" i="10"/>
  <c r="B289" i="4"/>
  <c r="I289" i="4"/>
  <c r="C23" i="10"/>
  <c r="AS23" i="10"/>
  <c r="AY23" i="10"/>
  <c r="BB23" i="10"/>
  <c r="AP23" i="10"/>
  <c r="AZ23" i="10"/>
  <c r="D23" i="10"/>
  <c r="B24" i="10"/>
  <c r="A23" i="10"/>
  <c r="F288" i="4"/>
  <c r="D288" i="4"/>
  <c r="R19" i="5"/>
  <c r="BJ19" i="5"/>
  <c r="BA22" i="10"/>
  <c r="AM22" i="10"/>
  <c r="AE22" i="10"/>
  <c r="AD22" i="10"/>
  <c r="AJ22" i="10"/>
  <c r="AF22" i="10"/>
  <c r="AK22" i="10"/>
  <c r="AL22" i="10"/>
  <c r="AB22" i="10"/>
  <c r="AH22" i="10"/>
  <c r="D289" i="4"/>
  <c r="C288" i="4"/>
  <c r="G289" i="4"/>
  <c r="F289" i="4"/>
  <c r="BA23" i="10"/>
  <c r="T19" i="5"/>
  <c r="B25" i="10"/>
  <c r="C24" i="10"/>
  <c r="D24" i="10"/>
  <c r="AX24" i="10"/>
  <c r="F24" i="10"/>
  <c r="B290" i="4"/>
  <c r="E290" i="4"/>
  <c r="AS24" i="10"/>
  <c r="AY24" i="10"/>
  <c r="A24" i="10"/>
  <c r="BB24" i="10"/>
  <c r="AP24" i="10"/>
  <c r="AZ24" i="10"/>
  <c r="H289" i="4"/>
  <c r="E289" i="4"/>
  <c r="R20" i="5"/>
  <c r="T20" i="5"/>
  <c r="E23" i="10"/>
  <c r="AJ23" i="10"/>
  <c r="AF23" i="10"/>
  <c r="AB23" i="10"/>
  <c r="AE23" i="10"/>
  <c r="AL23" i="10"/>
  <c r="AH23" i="10"/>
  <c r="AD23" i="10"/>
  <c r="AM23" i="10"/>
  <c r="AK23" i="10"/>
  <c r="R21" i="5"/>
  <c r="BJ21" i="5"/>
  <c r="D290" i="4"/>
  <c r="I290" i="4"/>
  <c r="T21" i="5"/>
  <c r="C289" i="4"/>
  <c r="G290" i="4"/>
  <c r="F290" i="4"/>
  <c r="H290" i="4"/>
  <c r="BA24" i="10"/>
  <c r="AM24" i="10"/>
  <c r="AE24" i="10"/>
  <c r="AD24" i="10"/>
  <c r="AJ24" i="10"/>
  <c r="AF24" i="10"/>
  <c r="AK24" i="10"/>
  <c r="AL24" i="10"/>
  <c r="AB24" i="10"/>
  <c r="AH24" i="10"/>
  <c r="BJ20" i="5"/>
  <c r="E24" i="10"/>
  <c r="AX25" i="10"/>
  <c r="F25" i="10"/>
  <c r="B291" i="4"/>
  <c r="C25" i="10"/>
  <c r="AS25" i="10"/>
  <c r="AY25" i="10"/>
  <c r="BB25" i="10"/>
  <c r="AP25" i="10"/>
  <c r="AZ25" i="10"/>
  <c r="D25" i="10"/>
  <c r="B26" i="10"/>
  <c r="R22" i="5"/>
  <c r="T22" i="5"/>
  <c r="A25" i="10"/>
  <c r="I291" i="4"/>
  <c r="C290" i="4"/>
  <c r="H291" i="4"/>
  <c r="D291" i="4"/>
  <c r="F291" i="4"/>
  <c r="E291" i="4"/>
  <c r="G291" i="4"/>
  <c r="E25" i="10"/>
  <c r="AJ25" i="10"/>
  <c r="AF25" i="10"/>
  <c r="AB25" i="10"/>
  <c r="AE25" i="10"/>
  <c r="AL25" i="10"/>
  <c r="AH25" i="10"/>
  <c r="AD25" i="10"/>
  <c r="AM25" i="10"/>
  <c r="AK25" i="10"/>
  <c r="B27" i="10"/>
  <c r="R23" i="5"/>
  <c r="T23" i="5"/>
  <c r="C26" i="10"/>
  <c r="D26" i="10"/>
  <c r="AX26" i="10"/>
  <c r="F26" i="10"/>
  <c r="B292" i="4"/>
  <c r="D292" i="4"/>
  <c r="AS26" i="10"/>
  <c r="AY26" i="10"/>
  <c r="A26" i="10"/>
  <c r="BB26" i="10"/>
  <c r="AP26" i="10"/>
  <c r="AZ26" i="10"/>
  <c r="BA25" i="10"/>
  <c r="BJ22" i="5"/>
  <c r="C291" i="4"/>
  <c r="E292" i="4"/>
  <c r="G292" i="4"/>
  <c r="I292" i="4"/>
  <c r="H292" i="4"/>
  <c r="BA26" i="10"/>
  <c r="AK26" i="10"/>
  <c r="AL26" i="10"/>
  <c r="AB26" i="10"/>
  <c r="AH26" i="10"/>
  <c r="AM26" i="10"/>
  <c r="AE26" i="10"/>
  <c r="AD26" i="10"/>
  <c r="AJ26" i="10"/>
  <c r="AF26" i="10"/>
  <c r="F292" i="4"/>
  <c r="E26" i="10"/>
  <c r="BB27" i="10"/>
  <c r="AP27" i="10"/>
  <c r="AZ27" i="10"/>
  <c r="D27" i="10"/>
  <c r="B28" i="10"/>
  <c r="A27" i="10"/>
  <c r="AX27" i="10"/>
  <c r="F27" i="10"/>
  <c r="B293" i="4"/>
  <c r="E293" i="4"/>
  <c r="C27" i="10"/>
  <c r="AS27" i="10"/>
  <c r="AY27" i="10"/>
  <c r="BJ23" i="5"/>
  <c r="C292" i="4"/>
  <c r="BA27" i="10"/>
  <c r="D293" i="4"/>
  <c r="G293" i="4"/>
  <c r="H293" i="4"/>
  <c r="I293" i="4"/>
  <c r="F293" i="4"/>
  <c r="AJ27" i="10"/>
  <c r="AF27" i="10"/>
  <c r="AB27" i="10"/>
  <c r="AE27" i="10"/>
  <c r="AL27" i="10"/>
  <c r="AH27" i="10"/>
  <c r="AD27" i="10"/>
  <c r="AM27" i="10"/>
  <c r="AK27" i="10"/>
  <c r="BB28" i="10"/>
  <c r="AP28" i="10"/>
  <c r="AZ28" i="10"/>
  <c r="A28" i="10"/>
  <c r="D28" i="10"/>
  <c r="F28" i="10"/>
  <c r="B294" i="4"/>
  <c r="I294" i="4"/>
  <c r="AX28" i="10"/>
  <c r="C28" i="10"/>
  <c r="AS28" i="10"/>
  <c r="AY28" i="10"/>
  <c r="B29" i="10"/>
  <c r="R25" i="5"/>
  <c r="T25" i="5"/>
  <c r="R24" i="5"/>
  <c r="T24" i="5"/>
  <c r="E27" i="10"/>
  <c r="C293" i="4"/>
  <c r="G294" i="4"/>
  <c r="F294" i="4"/>
  <c r="BJ24" i="5"/>
  <c r="D294" i="4"/>
  <c r="B30" i="10"/>
  <c r="C29" i="10"/>
  <c r="D29" i="10"/>
  <c r="F29" i="10"/>
  <c r="B295" i="4"/>
  <c r="G295" i="4"/>
  <c r="AP29" i="10"/>
  <c r="AZ29" i="10"/>
  <c r="AS29" i="10"/>
  <c r="AY29" i="10"/>
  <c r="A29" i="10"/>
  <c r="AX29" i="10"/>
  <c r="BB29" i="10"/>
  <c r="AJ28" i="10"/>
  <c r="AF28" i="10"/>
  <c r="AB28" i="10"/>
  <c r="AE28" i="10"/>
  <c r="AL28" i="10"/>
  <c r="AH28" i="10"/>
  <c r="AD28" i="10"/>
  <c r="AM28" i="10"/>
  <c r="AK28" i="10"/>
  <c r="E294" i="4"/>
  <c r="H294" i="4"/>
  <c r="E28" i="10"/>
  <c r="BA28" i="10"/>
  <c r="BJ25" i="5"/>
  <c r="R26" i="5"/>
  <c r="BJ26" i="5"/>
  <c r="E295" i="4"/>
  <c r="C294" i="4"/>
  <c r="I295" i="4"/>
  <c r="F295" i="4"/>
  <c r="AK29" i="10"/>
  <c r="AL29" i="10"/>
  <c r="AB29" i="10"/>
  <c r="AH29" i="10"/>
  <c r="AM29" i="10"/>
  <c r="AE29" i="10"/>
  <c r="AD29" i="10"/>
  <c r="AJ29" i="10"/>
  <c r="AF29" i="10"/>
  <c r="H295" i="4"/>
  <c r="D295" i="4"/>
  <c r="BA29" i="10"/>
  <c r="E29" i="10"/>
  <c r="BB30" i="10"/>
  <c r="AP30" i="10"/>
  <c r="AZ30" i="10"/>
  <c r="D30" i="10"/>
  <c r="AS30" i="10"/>
  <c r="AY30" i="10"/>
  <c r="B31" i="10"/>
  <c r="AX30" i="10"/>
  <c r="F296" i="4"/>
  <c r="F30" i="10"/>
  <c r="B296" i="4"/>
  <c r="C30" i="10"/>
  <c r="A30" i="10"/>
  <c r="BA30" i="10"/>
  <c r="T26" i="5"/>
  <c r="R27" i="5"/>
  <c r="BJ27" i="5"/>
  <c r="E296" i="4"/>
  <c r="G296" i="4"/>
  <c r="I296" i="4"/>
  <c r="D296" i="4"/>
  <c r="C295" i="4"/>
  <c r="H296" i="4"/>
  <c r="AJ30" i="10"/>
  <c r="AF30" i="10"/>
  <c r="AB30" i="10"/>
  <c r="AE30" i="10"/>
  <c r="AL30" i="10"/>
  <c r="AH30" i="10"/>
  <c r="AD30" i="10"/>
  <c r="AM30" i="10"/>
  <c r="AK30" i="10"/>
  <c r="B32" i="10"/>
  <c r="R28" i="5"/>
  <c r="BJ28" i="5"/>
  <c r="C31" i="10"/>
  <c r="D31" i="10"/>
  <c r="F31" i="10"/>
  <c r="B297" i="4"/>
  <c r="F297" i="4"/>
  <c r="AP31" i="10"/>
  <c r="AZ31" i="10"/>
  <c r="AS31" i="10"/>
  <c r="AY31" i="10"/>
  <c r="A31" i="10"/>
  <c r="AX31" i="10"/>
  <c r="BB31" i="10"/>
  <c r="E30" i="10"/>
  <c r="T27" i="5"/>
  <c r="H297" i="4"/>
  <c r="E297" i="4"/>
  <c r="C296" i="4"/>
  <c r="I297" i="4"/>
  <c r="D297" i="4"/>
  <c r="G297" i="4"/>
  <c r="BA31" i="10"/>
  <c r="E31" i="10"/>
  <c r="BB32" i="10"/>
  <c r="AP32" i="10"/>
  <c r="AZ32" i="10"/>
  <c r="D32" i="10"/>
  <c r="AS32" i="10"/>
  <c r="AY32" i="10"/>
  <c r="B33" i="10"/>
  <c r="AX32" i="10"/>
  <c r="F298" i="4"/>
  <c r="F32" i="10"/>
  <c r="B298" i="4"/>
  <c r="C32" i="10"/>
  <c r="A32" i="10"/>
  <c r="BA32" i="10"/>
  <c r="AK31" i="10"/>
  <c r="AL31" i="10"/>
  <c r="AB31" i="10"/>
  <c r="AH31" i="10"/>
  <c r="AM31" i="10"/>
  <c r="AE31" i="10"/>
  <c r="AD31" i="10"/>
  <c r="AJ31" i="10"/>
  <c r="AF31" i="10"/>
  <c r="T28" i="5"/>
  <c r="R29" i="5"/>
  <c r="BJ29" i="5"/>
  <c r="E298" i="4"/>
  <c r="G298" i="4"/>
  <c r="I298" i="4"/>
  <c r="D298" i="4"/>
  <c r="H298" i="4"/>
  <c r="C297" i="4"/>
  <c r="AL32" i="10"/>
  <c r="AH32" i="10"/>
  <c r="AD32" i="10"/>
  <c r="AM32" i="10"/>
  <c r="AK32" i="10"/>
  <c r="AJ32" i="10"/>
  <c r="AF32" i="10"/>
  <c r="AB32" i="10"/>
  <c r="AE32" i="10"/>
  <c r="AS33" i="10"/>
  <c r="AY33" i="10"/>
  <c r="A33" i="10"/>
  <c r="AX33" i="10"/>
  <c r="BB33" i="10"/>
  <c r="B34" i="10"/>
  <c r="C33" i="10"/>
  <c r="D33" i="10"/>
  <c r="F33" i="10"/>
  <c r="B299" i="4"/>
  <c r="G299" i="4"/>
  <c r="AP33" i="10"/>
  <c r="AZ33" i="10"/>
  <c r="E32" i="10"/>
  <c r="T29" i="5"/>
  <c r="C298" i="4"/>
  <c r="BA33" i="10"/>
  <c r="D299" i="4"/>
  <c r="E299" i="4"/>
  <c r="I299" i="4"/>
  <c r="F299" i="4"/>
  <c r="H299" i="4"/>
  <c r="E33" i="10"/>
  <c r="BB34" i="10"/>
  <c r="AP34" i="10"/>
  <c r="AZ34" i="10"/>
  <c r="D34" i="10"/>
  <c r="AS34" i="10"/>
  <c r="AY34" i="10"/>
  <c r="B35" i="10"/>
  <c r="R31" i="5"/>
  <c r="BJ31" i="5"/>
  <c r="AX34" i="10"/>
  <c r="F34" i="10"/>
  <c r="B300" i="4"/>
  <c r="D300" i="4"/>
  <c r="C34" i="10"/>
  <c r="A34" i="10"/>
  <c r="BA34" i="10"/>
  <c r="R30" i="5"/>
  <c r="AK33" i="10"/>
  <c r="AL33" i="10"/>
  <c r="AB33" i="10"/>
  <c r="AH33" i="10"/>
  <c r="AM33" i="10"/>
  <c r="AE33" i="10"/>
  <c r="AD33" i="10"/>
  <c r="AJ33" i="10"/>
  <c r="AF33" i="10"/>
  <c r="I300" i="4"/>
  <c r="C299" i="4"/>
  <c r="G300" i="4"/>
  <c r="E300" i="4"/>
  <c r="F300" i="4"/>
  <c r="H300" i="4"/>
  <c r="AJ34" i="10"/>
  <c r="AF34" i="10"/>
  <c r="AB34" i="10"/>
  <c r="AE34" i="10"/>
  <c r="AL34" i="10"/>
  <c r="AH34" i="10"/>
  <c r="AD34" i="10"/>
  <c r="AM34" i="10"/>
  <c r="AK34" i="10"/>
  <c r="BJ30" i="5"/>
  <c r="T30" i="5"/>
  <c r="BB35" i="10"/>
  <c r="AP35" i="10"/>
  <c r="AZ35" i="10"/>
  <c r="AS35" i="10"/>
  <c r="AY35" i="10"/>
  <c r="A35" i="10"/>
  <c r="F35" i="10"/>
  <c r="B301" i="4"/>
  <c r="H301" i="4"/>
  <c r="AX35" i="10"/>
  <c r="B36" i="10"/>
  <c r="C35" i="10"/>
  <c r="D35" i="10"/>
  <c r="E34" i="10"/>
  <c r="T31" i="5"/>
  <c r="R32" i="5"/>
  <c r="BJ32" i="5"/>
  <c r="E301" i="4"/>
  <c r="I301" i="4"/>
  <c r="C300" i="4"/>
  <c r="D301" i="4"/>
  <c r="G301" i="4"/>
  <c r="F301" i="4"/>
  <c r="AL35" i="10"/>
  <c r="AH35" i="10"/>
  <c r="AD35" i="10"/>
  <c r="AK35" i="10"/>
  <c r="AE35" i="10"/>
  <c r="AJ35" i="10"/>
  <c r="AF35" i="10"/>
  <c r="AB35" i="10"/>
  <c r="AM35" i="10"/>
  <c r="BA35" i="10"/>
  <c r="E35" i="10"/>
  <c r="AS36" i="10"/>
  <c r="AY36" i="10"/>
  <c r="A36" i="10"/>
  <c r="AX36" i="10"/>
  <c r="F36" i="10"/>
  <c r="B302" i="4"/>
  <c r="D302" i="4"/>
  <c r="B37" i="10"/>
  <c r="K42" i="10"/>
  <c r="C36" i="10"/>
  <c r="BB36" i="10"/>
  <c r="AP36" i="10"/>
  <c r="AZ36" i="10"/>
  <c r="D36" i="10"/>
  <c r="T32" i="5"/>
  <c r="R33" i="5"/>
  <c r="T33" i="5"/>
  <c r="I302" i="4"/>
  <c r="C301" i="4"/>
  <c r="BA36" i="10"/>
  <c r="F302" i="4"/>
  <c r="F305" i="4" s="1"/>
  <c r="E302" i="4"/>
  <c r="AM36" i="10"/>
  <c r="AE36" i="10"/>
  <c r="AH36" i="10"/>
  <c r="AL36" i="10"/>
  <c r="AB36" i="10"/>
  <c r="AK36" i="10"/>
  <c r="AJ36" i="10"/>
  <c r="AF36" i="10"/>
  <c r="AD36" i="10"/>
  <c r="H302" i="4"/>
  <c r="H305" i="4" s="1"/>
  <c r="G302" i="4"/>
  <c r="E36" i="10"/>
  <c r="B8" i="11"/>
  <c r="AX37" i="10"/>
  <c r="F37" i="10"/>
  <c r="B303" i="4"/>
  <c r="I303" i="4"/>
  <c r="AS37" i="10"/>
  <c r="AY37" i="10"/>
  <c r="C37" i="10"/>
  <c r="BB37" i="10"/>
  <c r="AP37" i="10"/>
  <c r="AZ37" i="10"/>
  <c r="BA37" i="10"/>
  <c r="D37" i="10"/>
  <c r="A37" i="10"/>
  <c r="BJ33" i="5"/>
  <c r="C302" i="4"/>
  <c r="D303" i="4"/>
  <c r="E303" i="4"/>
  <c r="E305" i="4"/>
  <c r="G303" i="4"/>
  <c r="G305" i="4"/>
  <c r="AL37" i="10"/>
  <c r="AL40" i="10"/>
  <c r="AL41" i="10"/>
  <c r="AL39" i="11"/>
  <c r="AH37" i="10"/>
  <c r="AH40" i="10"/>
  <c r="AH41" i="10"/>
  <c r="AH39" i="11"/>
  <c r="AD37" i="10"/>
  <c r="AD40" i="10"/>
  <c r="AD41" i="10"/>
  <c r="AD39" i="11"/>
  <c r="AK37" i="10"/>
  <c r="AK40" i="10"/>
  <c r="AK41" i="10"/>
  <c r="AK39" i="11"/>
  <c r="AE37" i="10"/>
  <c r="AE40" i="10"/>
  <c r="AE41" i="10"/>
  <c r="AE39" i="11"/>
  <c r="AJ37" i="10"/>
  <c r="AJ40" i="10"/>
  <c r="AJ41" i="10"/>
  <c r="AJ39" i="11"/>
  <c r="AF37" i="10"/>
  <c r="AF40" i="10"/>
  <c r="AF41" i="10"/>
  <c r="AF39" i="11"/>
  <c r="AB37" i="10"/>
  <c r="AB40" i="10"/>
  <c r="AM37" i="10"/>
  <c r="AM40" i="10"/>
  <c r="AM41" i="10"/>
  <c r="AM39" i="11"/>
  <c r="E4" i="11"/>
  <c r="BB8" i="11"/>
  <c r="D8" i="11"/>
  <c r="AS8" i="11"/>
  <c r="AY8" i="11"/>
  <c r="A8" i="11"/>
  <c r="AP8" i="11"/>
  <c r="AZ8" i="11"/>
  <c r="F8" i="11"/>
  <c r="B326" i="4"/>
  <c r="B9" i="11"/>
  <c r="C8" i="11"/>
  <c r="AX8" i="11"/>
  <c r="F303" i="4"/>
  <c r="H303" i="4"/>
  <c r="U4" i="5"/>
  <c r="W4" i="5"/>
  <c r="E37" i="10"/>
  <c r="U5" i="5"/>
  <c r="BN5" i="5"/>
  <c r="D326" i="4"/>
  <c r="C303" i="4"/>
  <c r="F326" i="4"/>
  <c r="BA8" i="11"/>
  <c r="BN4" i="5"/>
  <c r="H326" i="4"/>
  <c r="G326" i="4"/>
  <c r="AL8" i="11"/>
  <c r="AH8" i="11"/>
  <c r="AD8" i="11"/>
  <c r="AM8" i="11"/>
  <c r="AE8" i="11"/>
  <c r="AF8" i="11"/>
  <c r="AK8" i="11"/>
  <c r="AJ8" i="11"/>
  <c r="AB8" i="11"/>
  <c r="E8" i="11"/>
  <c r="AB41" i="10"/>
  <c r="K40" i="10"/>
  <c r="E326" i="4"/>
  <c r="I326" i="4"/>
  <c r="AS9" i="11"/>
  <c r="AY9" i="11"/>
  <c r="A9" i="11"/>
  <c r="AX9" i="11"/>
  <c r="F9" i="11"/>
  <c r="B327" i="4"/>
  <c r="D327" i="4"/>
  <c r="B10" i="11"/>
  <c r="U6" i="5"/>
  <c r="BN6" i="5"/>
  <c r="BB9" i="11"/>
  <c r="D9" i="11"/>
  <c r="C9" i="11"/>
  <c r="AP9" i="11"/>
  <c r="AZ9" i="11"/>
  <c r="BA9" i="11"/>
  <c r="W5" i="5"/>
  <c r="D320" i="4"/>
  <c r="C326" i="4"/>
  <c r="E327" i="4"/>
  <c r="I327" i="4"/>
  <c r="K41" i="10"/>
  <c r="AB39" i="11"/>
  <c r="K39" i="11"/>
  <c r="G327" i="4"/>
  <c r="F327" i="4"/>
  <c r="H327" i="4"/>
  <c r="E9" i="11"/>
  <c r="BB10" i="11"/>
  <c r="AP10" i="11"/>
  <c r="AZ10" i="11"/>
  <c r="D10" i="11"/>
  <c r="AS10" i="11"/>
  <c r="AY10" i="11"/>
  <c r="A10" i="11"/>
  <c r="AX10" i="11"/>
  <c r="BA10" i="11"/>
  <c r="F10" i="11"/>
  <c r="B328" i="4"/>
  <c r="B11" i="11"/>
  <c r="U7" i="5"/>
  <c r="W7" i="5"/>
  <c r="C10" i="11"/>
  <c r="AK9" i="11"/>
  <c r="AL9" i="11"/>
  <c r="AH9" i="11"/>
  <c r="AD9" i="11"/>
  <c r="AM9" i="11"/>
  <c r="AE9" i="11"/>
  <c r="AJ9" i="11"/>
  <c r="AF9" i="11"/>
  <c r="AB9" i="11"/>
  <c r="W6" i="5"/>
  <c r="C327" i="4"/>
  <c r="F328" i="4"/>
  <c r="H328" i="4"/>
  <c r="G328" i="4"/>
  <c r="E328" i="4"/>
  <c r="AJ10" i="11"/>
  <c r="AF10" i="11"/>
  <c r="AB10" i="11"/>
  <c r="AK10" i="11"/>
  <c r="AL10" i="11"/>
  <c r="AH10" i="11"/>
  <c r="AD10" i="11"/>
  <c r="AM10" i="11"/>
  <c r="AE10" i="11"/>
  <c r="E10" i="11"/>
  <c r="I328" i="4"/>
  <c r="D328" i="4"/>
  <c r="B12" i="11"/>
  <c r="C11" i="11"/>
  <c r="BB11" i="11"/>
  <c r="AP11" i="11"/>
  <c r="AZ11" i="11"/>
  <c r="D11" i="11"/>
  <c r="AS11" i="11"/>
  <c r="AY11" i="11"/>
  <c r="H329" i="4"/>
  <c r="A11" i="11"/>
  <c r="AX11" i="11"/>
  <c r="F329" i="4"/>
  <c r="F11" i="11"/>
  <c r="B329" i="4"/>
  <c r="BN7" i="5"/>
  <c r="U8" i="5"/>
  <c r="W8" i="5"/>
  <c r="I329" i="4"/>
  <c r="D329" i="4"/>
  <c r="E329" i="4"/>
  <c r="G329" i="4"/>
  <c r="C328" i="4"/>
  <c r="BA11" i="11"/>
  <c r="AM11" i="11"/>
  <c r="AE11" i="11"/>
  <c r="AJ11" i="11"/>
  <c r="AF11" i="11"/>
  <c r="AB11" i="11"/>
  <c r="AK11" i="11"/>
  <c r="AL11" i="11"/>
  <c r="AH11" i="11"/>
  <c r="AD11" i="11"/>
  <c r="E11" i="11"/>
  <c r="AX12" i="11"/>
  <c r="F12" i="11"/>
  <c r="B330" i="4"/>
  <c r="D330" i="4"/>
  <c r="B13" i="11"/>
  <c r="U9" i="5"/>
  <c r="W9" i="5"/>
  <c r="C12" i="11"/>
  <c r="BB12" i="11"/>
  <c r="AP12" i="11"/>
  <c r="AZ12" i="11"/>
  <c r="D12" i="11"/>
  <c r="AS12" i="11"/>
  <c r="AY12" i="11"/>
  <c r="A12" i="11"/>
  <c r="BN8" i="5"/>
  <c r="G330" i="4"/>
  <c r="F330" i="4"/>
  <c r="C329" i="4"/>
  <c r="E330" i="4"/>
  <c r="H330" i="4"/>
  <c r="I330" i="4"/>
  <c r="BA12" i="11"/>
  <c r="E12" i="11"/>
  <c r="AX13" i="11"/>
  <c r="C13" i="11"/>
  <c r="B14" i="11"/>
  <c r="U10" i="5"/>
  <c r="W10" i="5"/>
  <c r="F13" i="11"/>
  <c r="B331" i="4"/>
  <c r="E331" i="4"/>
  <c r="BB13" i="11"/>
  <c r="AP13" i="11"/>
  <c r="AZ13" i="11"/>
  <c r="A13" i="11"/>
  <c r="AS13" i="11"/>
  <c r="AY13" i="11"/>
  <c r="D13" i="11"/>
  <c r="AL12" i="11"/>
  <c r="AH12" i="11"/>
  <c r="AD12" i="11"/>
  <c r="AM12" i="11"/>
  <c r="AE12" i="11"/>
  <c r="AJ12" i="11"/>
  <c r="AF12" i="11"/>
  <c r="AB12" i="11"/>
  <c r="AK12" i="11"/>
  <c r="BN9" i="5"/>
  <c r="C330" i="4"/>
  <c r="BA13" i="11"/>
  <c r="F331" i="4"/>
  <c r="BN10" i="5"/>
  <c r="I331" i="4"/>
  <c r="H331" i="4"/>
  <c r="AJ13" i="11"/>
  <c r="AE13" i="11"/>
  <c r="AH13" i="11"/>
  <c r="AD13" i="11"/>
  <c r="AL13" i="11"/>
  <c r="AM13" i="11"/>
  <c r="AK13" i="11"/>
  <c r="AF13" i="11"/>
  <c r="AB13" i="11"/>
  <c r="G331" i="4"/>
  <c r="D331" i="4"/>
  <c r="E13" i="11"/>
  <c r="B15" i="11"/>
  <c r="C14" i="11"/>
  <c r="D14" i="11"/>
  <c r="AX14" i="11"/>
  <c r="F14" i="11"/>
  <c r="B332" i="4"/>
  <c r="I332" i="4"/>
  <c r="AS14" i="11"/>
  <c r="AY14" i="11"/>
  <c r="A14" i="11"/>
  <c r="BB14" i="11"/>
  <c r="AP14" i="11"/>
  <c r="AZ14" i="11"/>
  <c r="D332" i="4"/>
  <c r="G332" i="4"/>
  <c r="C331" i="4"/>
  <c r="BA14" i="11"/>
  <c r="F332" i="4"/>
  <c r="E14" i="11"/>
  <c r="BB15" i="11"/>
  <c r="AP15" i="11"/>
  <c r="AZ15" i="11"/>
  <c r="D15" i="11"/>
  <c r="B16" i="11"/>
  <c r="A15" i="11"/>
  <c r="AX15" i="11"/>
  <c r="F15" i="11"/>
  <c r="B333" i="4"/>
  <c r="G333" i="4"/>
  <c r="C15" i="11"/>
  <c r="AS15" i="11"/>
  <c r="AY15" i="11"/>
  <c r="E332" i="4"/>
  <c r="H332" i="4"/>
  <c r="U11" i="5"/>
  <c r="W11" i="5"/>
  <c r="AK14" i="11"/>
  <c r="AL14" i="11"/>
  <c r="AB14" i="11"/>
  <c r="AH14" i="11"/>
  <c r="AM14" i="11"/>
  <c r="AE14" i="11"/>
  <c r="AD14" i="11"/>
  <c r="AJ14" i="11"/>
  <c r="AF14" i="11"/>
  <c r="U12" i="5"/>
  <c r="W12" i="5"/>
  <c r="E333" i="4"/>
  <c r="D333" i="4"/>
  <c r="I333" i="4"/>
  <c r="C332" i="4"/>
  <c r="H333" i="4"/>
  <c r="F333" i="4"/>
  <c r="BN11" i="5"/>
  <c r="AL15" i="11"/>
  <c r="AH15" i="11"/>
  <c r="AD15" i="11"/>
  <c r="AM15" i="11"/>
  <c r="AK15" i="11"/>
  <c r="AJ15" i="11"/>
  <c r="AF15" i="11"/>
  <c r="AB15" i="11"/>
  <c r="AE15" i="11"/>
  <c r="AS16" i="11"/>
  <c r="AY16" i="11"/>
  <c r="A16" i="11"/>
  <c r="BB16" i="11"/>
  <c r="AP16" i="11"/>
  <c r="AZ16" i="11"/>
  <c r="B17" i="11"/>
  <c r="C16" i="11"/>
  <c r="D16" i="11"/>
  <c r="AX16" i="11"/>
  <c r="F16" i="11"/>
  <c r="B334" i="4"/>
  <c r="I334" i="4"/>
  <c r="BA15" i="11"/>
  <c r="E15" i="11"/>
  <c r="BN12" i="5"/>
  <c r="U13" i="5"/>
  <c r="BN13" i="5"/>
  <c r="C333" i="4"/>
  <c r="F334" i="4"/>
  <c r="BA16" i="11"/>
  <c r="D334" i="4"/>
  <c r="H334" i="4"/>
  <c r="E16" i="11"/>
  <c r="AX17" i="11"/>
  <c r="F17" i="11"/>
  <c r="B335" i="4"/>
  <c r="G335" i="4"/>
  <c r="B18" i="11"/>
  <c r="A17" i="11"/>
  <c r="BB17" i="11"/>
  <c r="AP17" i="11"/>
  <c r="AZ17" i="11"/>
  <c r="D17" i="11"/>
  <c r="C17" i="11"/>
  <c r="AS17" i="11"/>
  <c r="AY17" i="11"/>
  <c r="E334" i="4"/>
  <c r="G334" i="4"/>
  <c r="AM16" i="11"/>
  <c r="AE16" i="11"/>
  <c r="AD16" i="11"/>
  <c r="AJ16" i="11"/>
  <c r="AF16" i="11"/>
  <c r="AK16" i="11"/>
  <c r="AL16" i="11"/>
  <c r="AB16" i="11"/>
  <c r="AH16" i="11"/>
  <c r="W13" i="5"/>
  <c r="U14" i="5"/>
  <c r="W14" i="5"/>
  <c r="I335" i="4"/>
  <c r="C334" i="4"/>
  <c r="E335" i="4"/>
  <c r="H335" i="4"/>
  <c r="BA17" i="11"/>
  <c r="E17" i="11"/>
  <c r="B19" i="11"/>
  <c r="C18" i="11"/>
  <c r="D18" i="11"/>
  <c r="AX18" i="11"/>
  <c r="F18" i="11"/>
  <c r="B336" i="4"/>
  <c r="G336" i="4"/>
  <c r="AS18" i="11"/>
  <c r="AY18" i="11"/>
  <c r="A18" i="11"/>
  <c r="BB18" i="11"/>
  <c r="AP18" i="11"/>
  <c r="AZ18" i="11"/>
  <c r="F335" i="4"/>
  <c r="D335" i="4"/>
  <c r="AL17" i="11"/>
  <c r="AH17" i="11"/>
  <c r="AD17" i="11"/>
  <c r="AM17" i="11"/>
  <c r="AK17" i="11"/>
  <c r="AJ17" i="11"/>
  <c r="AF17" i="11"/>
  <c r="AB17" i="11"/>
  <c r="AE17" i="11"/>
  <c r="U15" i="5"/>
  <c r="W15" i="5"/>
  <c r="BN14" i="5"/>
  <c r="E336" i="4"/>
  <c r="I336" i="4"/>
  <c r="C335" i="4"/>
  <c r="BA18" i="11"/>
  <c r="D336" i="4"/>
  <c r="H336" i="4"/>
  <c r="F336" i="4"/>
  <c r="AM18" i="11"/>
  <c r="AE18" i="11"/>
  <c r="AD18" i="11"/>
  <c r="AJ18" i="11"/>
  <c r="AF18" i="11"/>
  <c r="AK18" i="11"/>
  <c r="AL18" i="11"/>
  <c r="AB18" i="11"/>
  <c r="AH18" i="11"/>
  <c r="E18" i="11"/>
  <c r="AX19" i="11"/>
  <c r="BA19" i="11"/>
  <c r="F19" i="11"/>
  <c r="B337" i="4"/>
  <c r="I337" i="4"/>
  <c r="C19" i="11"/>
  <c r="AS19" i="11"/>
  <c r="AY19" i="11"/>
  <c r="BB19" i="11"/>
  <c r="AP19" i="11"/>
  <c r="AZ19" i="11"/>
  <c r="D19" i="11"/>
  <c r="B20" i="11"/>
  <c r="U16" i="5"/>
  <c r="W16" i="5"/>
  <c r="A19" i="11"/>
  <c r="BN15" i="5"/>
  <c r="C336" i="4"/>
  <c r="E337" i="4"/>
  <c r="H337" i="4"/>
  <c r="F337" i="4"/>
  <c r="AS20" i="11"/>
  <c r="AY20" i="11"/>
  <c r="A20" i="11"/>
  <c r="BB20" i="11"/>
  <c r="AP20" i="11"/>
  <c r="AZ20" i="11"/>
  <c r="B21" i="11"/>
  <c r="C20" i="11"/>
  <c r="D20" i="11"/>
  <c r="AX20" i="11"/>
  <c r="F338" i="4"/>
  <c r="F20" i="11"/>
  <c r="B338" i="4"/>
  <c r="D338" i="4"/>
  <c r="G337" i="4"/>
  <c r="D337" i="4"/>
  <c r="E19" i="11"/>
  <c r="AL19" i="11"/>
  <c r="AH19" i="11"/>
  <c r="AD19" i="11"/>
  <c r="AM19" i="11"/>
  <c r="AK19" i="11"/>
  <c r="AJ19" i="11"/>
  <c r="AF19" i="11"/>
  <c r="AB19" i="11"/>
  <c r="AE19" i="11"/>
  <c r="BN16" i="5"/>
  <c r="U17" i="5"/>
  <c r="BN17" i="5"/>
  <c r="G338" i="4"/>
  <c r="I338" i="4"/>
  <c r="C337" i="4"/>
  <c r="H338" i="4"/>
  <c r="E338" i="4"/>
  <c r="BA20" i="11"/>
  <c r="AM20" i="11"/>
  <c r="AE20" i="11"/>
  <c r="AD20" i="11"/>
  <c r="AJ20" i="11"/>
  <c r="AF20" i="11"/>
  <c r="AK20" i="11"/>
  <c r="AL20" i="11"/>
  <c r="AB20" i="11"/>
  <c r="AH20" i="11"/>
  <c r="E20" i="11"/>
  <c r="AX21" i="11"/>
  <c r="F21" i="11"/>
  <c r="B339" i="4"/>
  <c r="E339" i="4"/>
  <c r="C21" i="11"/>
  <c r="AS21" i="11"/>
  <c r="AY21" i="11"/>
  <c r="BB21" i="11"/>
  <c r="AP21" i="11"/>
  <c r="AZ21" i="11"/>
  <c r="D21" i="11"/>
  <c r="B22" i="11"/>
  <c r="U18" i="5"/>
  <c r="W18" i="5"/>
  <c r="A21" i="11"/>
  <c r="W17" i="5"/>
  <c r="C338" i="4"/>
  <c r="I339" i="4"/>
  <c r="H339" i="4"/>
  <c r="G339" i="4"/>
  <c r="D339" i="4"/>
  <c r="BA21" i="11"/>
  <c r="E21" i="11"/>
  <c r="AL21" i="11"/>
  <c r="AH21" i="11"/>
  <c r="AD21" i="11"/>
  <c r="AM21" i="11"/>
  <c r="AK21" i="11"/>
  <c r="AJ21" i="11"/>
  <c r="AF21" i="11"/>
  <c r="AB21" i="11"/>
  <c r="AE21" i="11"/>
  <c r="F339" i="4"/>
  <c r="AS22" i="11"/>
  <c r="AY22" i="11"/>
  <c r="A22" i="11"/>
  <c r="BB22" i="11"/>
  <c r="AP22" i="11"/>
  <c r="AZ22" i="11"/>
  <c r="B23" i="11"/>
  <c r="U19" i="5"/>
  <c r="BN19" i="5"/>
  <c r="C22" i="11"/>
  <c r="D22" i="11"/>
  <c r="AX22" i="11"/>
  <c r="F22" i="11"/>
  <c r="B340" i="4"/>
  <c r="D340" i="4"/>
  <c r="BN18" i="5"/>
  <c r="H340" i="4"/>
  <c r="C339" i="4"/>
  <c r="F340" i="4"/>
  <c r="E340" i="4"/>
  <c r="E22" i="11"/>
  <c r="AX23" i="11"/>
  <c r="F23" i="11"/>
  <c r="B341" i="4"/>
  <c r="G341" i="4"/>
  <c r="C23" i="11"/>
  <c r="AS23" i="11"/>
  <c r="AY23" i="11"/>
  <c r="BB23" i="11"/>
  <c r="AP23" i="11"/>
  <c r="AZ23" i="11"/>
  <c r="D23" i="11"/>
  <c r="B24" i="11"/>
  <c r="A23" i="11"/>
  <c r="G340" i="4"/>
  <c r="I340" i="4"/>
  <c r="BA22" i="11"/>
  <c r="AM22" i="11"/>
  <c r="AE22" i="11"/>
  <c r="AD22" i="11"/>
  <c r="AJ22" i="11"/>
  <c r="AF22" i="11"/>
  <c r="AK22" i="11"/>
  <c r="AL22" i="11"/>
  <c r="AB22" i="11"/>
  <c r="AH22" i="11"/>
  <c r="W19" i="5"/>
  <c r="E341" i="4"/>
  <c r="H341" i="4"/>
  <c r="C340" i="4"/>
  <c r="I341" i="4"/>
  <c r="BA23" i="11"/>
  <c r="AS24" i="11"/>
  <c r="AY24" i="11"/>
  <c r="A24" i="11"/>
  <c r="BB24" i="11"/>
  <c r="AP24" i="11"/>
  <c r="AZ24" i="11"/>
  <c r="B25" i="11"/>
  <c r="C24" i="11"/>
  <c r="D24" i="11"/>
  <c r="AX24" i="11"/>
  <c r="F24" i="11"/>
  <c r="B342" i="4"/>
  <c r="H342" i="4"/>
  <c r="F341" i="4"/>
  <c r="D341" i="4"/>
  <c r="U20" i="5"/>
  <c r="BN20" i="5"/>
  <c r="E23" i="11"/>
  <c r="AL23" i="11"/>
  <c r="AH23" i="11"/>
  <c r="AD23" i="11"/>
  <c r="AM23" i="11"/>
  <c r="AK23" i="11"/>
  <c r="AJ23" i="11"/>
  <c r="AF23" i="11"/>
  <c r="AB23" i="11"/>
  <c r="AE23" i="11"/>
  <c r="U21" i="5"/>
  <c r="BN21" i="5"/>
  <c r="G342" i="4"/>
  <c r="C341" i="4"/>
  <c r="BA24" i="11"/>
  <c r="D342" i="4"/>
  <c r="I342" i="4"/>
  <c r="E342" i="4"/>
  <c r="W20" i="5"/>
  <c r="F342" i="4"/>
  <c r="AK24" i="11"/>
  <c r="AL24" i="11"/>
  <c r="AB24" i="11"/>
  <c r="AH24" i="11"/>
  <c r="AM24" i="11"/>
  <c r="AE24" i="11"/>
  <c r="AD24" i="11"/>
  <c r="AJ24" i="11"/>
  <c r="AF24" i="11"/>
  <c r="E24" i="11"/>
  <c r="BB25" i="11"/>
  <c r="AP25" i="11"/>
  <c r="AZ25" i="11"/>
  <c r="D25" i="11"/>
  <c r="B26" i="11"/>
  <c r="U22" i="5"/>
  <c r="BN22" i="5"/>
  <c r="A25" i="11"/>
  <c r="AX25" i="11"/>
  <c r="F25" i="11"/>
  <c r="B343" i="4"/>
  <c r="G343" i="4"/>
  <c r="C25" i="11"/>
  <c r="AS25" i="11"/>
  <c r="AY25" i="11"/>
  <c r="W21" i="5"/>
  <c r="C342" i="4"/>
  <c r="I343" i="4"/>
  <c r="E343" i="4"/>
  <c r="H343" i="4"/>
  <c r="E25" i="11"/>
  <c r="F343" i="4"/>
  <c r="D343" i="4"/>
  <c r="AL25" i="11"/>
  <c r="AH25" i="11"/>
  <c r="AD25" i="11"/>
  <c r="AM25" i="11"/>
  <c r="AK25" i="11"/>
  <c r="AJ25" i="11"/>
  <c r="AF25" i="11"/>
  <c r="AB25" i="11"/>
  <c r="AE25" i="11"/>
  <c r="AS26" i="11"/>
  <c r="AY26" i="11"/>
  <c r="A26" i="11"/>
  <c r="BB26" i="11"/>
  <c r="AP26" i="11"/>
  <c r="AZ26" i="11"/>
  <c r="B27" i="11"/>
  <c r="C26" i="11"/>
  <c r="D26" i="11"/>
  <c r="AX26" i="11"/>
  <c r="F26" i="11"/>
  <c r="B344" i="4"/>
  <c r="H344" i="4"/>
  <c r="BA25" i="11"/>
  <c r="W22" i="5"/>
  <c r="C343" i="4"/>
  <c r="I344" i="4"/>
  <c r="F344" i="4"/>
  <c r="E344" i="4"/>
  <c r="BA26" i="11"/>
  <c r="E26" i="11"/>
  <c r="BB27" i="11"/>
  <c r="AP27" i="11"/>
  <c r="AZ27" i="11"/>
  <c r="D27" i="11"/>
  <c r="B28" i="11"/>
  <c r="U24" i="5"/>
  <c r="BN24" i="5"/>
  <c r="A27" i="11"/>
  <c r="AX27" i="11"/>
  <c r="F345" i="4"/>
  <c r="F27" i="11"/>
  <c r="B345" i="4"/>
  <c r="I345" i="4"/>
  <c r="C27" i="11"/>
  <c r="AS27" i="11"/>
  <c r="AY27" i="11"/>
  <c r="G344" i="4"/>
  <c r="D344" i="4"/>
  <c r="U23" i="5"/>
  <c r="AK26" i="11"/>
  <c r="AL26" i="11"/>
  <c r="AB26" i="11"/>
  <c r="AH26" i="11"/>
  <c r="AM26" i="11"/>
  <c r="AE26" i="11"/>
  <c r="AD26" i="11"/>
  <c r="AJ26" i="11"/>
  <c r="AF26" i="11"/>
  <c r="H345" i="4"/>
  <c r="D345" i="4"/>
  <c r="C344" i="4"/>
  <c r="BA27" i="11"/>
  <c r="E345" i="4"/>
  <c r="G345" i="4"/>
  <c r="AL27" i="11"/>
  <c r="AH27" i="11"/>
  <c r="AD27" i="11"/>
  <c r="AM27" i="11"/>
  <c r="AK27" i="11"/>
  <c r="AJ27" i="11"/>
  <c r="AF27" i="11"/>
  <c r="AB27" i="11"/>
  <c r="AE27" i="11"/>
  <c r="AX28" i="11"/>
  <c r="C28" i="11"/>
  <c r="AS28" i="11"/>
  <c r="AY28" i="11"/>
  <c r="B29" i="11"/>
  <c r="U25" i="5"/>
  <c r="W25" i="5"/>
  <c r="BB28" i="11"/>
  <c r="AP28" i="11"/>
  <c r="AZ28" i="11"/>
  <c r="A28" i="11"/>
  <c r="D28" i="11"/>
  <c r="F28" i="11"/>
  <c r="B346" i="4"/>
  <c r="D346" i="4"/>
  <c r="W23" i="5"/>
  <c r="BN23" i="5"/>
  <c r="E27" i="11"/>
  <c r="W24" i="5"/>
  <c r="F346" i="4"/>
  <c r="C345" i="4"/>
  <c r="I346" i="4"/>
  <c r="G346" i="4"/>
  <c r="H346" i="4"/>
  <c r="E346" i="4"/>
  <c r="E28" i="11"/>
  <c r="BA28" i="11"/>
  <c r="B30" i="11"/>
  <c r="U26" i="5"/>
  <c r="BN26" i="5"/>
  <c r="C29" i="11"/>
  <c r="D29" i="11"/>
  <c r="F29" i="11"/>
  <c r="B347" i="4"/>
  <c r="AP29" i="11"/>
  <c r="AZ29" i="11"/>
  <c r="AS29" i="11"/>
  <c r="AY29" i="11"/>
  <c r="A29" i="11"/>
  <c r="AX29" i="11"/>
  <c r="BB29" i="11"/>
  <c r="AJ28" i="11"/>
  <c r="AF28" i="11"/>
  <c r="AB28" i="11"/>
  <c r="AE28" i="11"/>
  <c r="AL28" i="11"/>
  <c r="AH28" i="11"/>
  <c r="AD28" i="11"/>
  <c r="AM28" i="11"/>
  <c r="AK28" i="11"/>
  <c r="BN25" i="5"/>
  <c r="E347" i="4"/>
  <c r="I347" i="4"/>
  <c r="C346" i="4"/>
  <c r="H347" i="4"/>
  <c r="F347" i="4"/>
  <c r="AM29" i="11"/>
  <c r="AE29" i="11"/>
  <c r="AD29" i="11"/>
  <c r="AJ29" i="11"/>
  <c r="AF29" i="11"/>
  <c r="AK29" i="11"/>
  <c r="AL29" i="11"/>
  <c r="AB29" i="11"/>
  <c r="AH29" i="11"/>
  <c r="D347" i="4"/>
  <c r="G347" i="4"/>
  <c r="BA29" i="11"/>
  <c r="E29" i="11"/>
  <c r="AX30" i="11"/>
  <c r="F30" i="11"/>
  <c r="B348" i="4"/>
  <c r="D348" i="4"/>
  <c r="C30" i="11"/>
  <c r="A30" i="11"/>
  <c r="BB30" i="11"/>
  <c r="AP30" i="11"/>
  <c r="AZ30" i="11"/>
  <c r="D30" i="11"/>
  <c r="AS30" i="11"/>
  <c r="AY30" i="11"/>
  <c r="B31" i="11"/>
  <c r="U27" i="5"/>
  <c r="W27" i="5"/>
  <c r="W26" i="5"/>
  <c r="C347" i="4"/>
  <c r="G348" i="4"/>
  <c r="F348" i="4"/>
  <c r="I348" i="4"/>
  <c r="H348" i="4"/>
  <c r="E348" i="4"/>
  <c r="BA30" i="11"/>
  <c r="AS31" i="11"/>
  <c r="AY31" i="11"/>
  <c r="A31" i="11"/>
  <c r="AX31" i="11"/>
  <c r="BB31" i="11"/>
  <c r="B32" i="11"/>
  <c r="U28" i="5"/>
  <c r="W28" i="5"/>
  <c r="C31" i="11"/>
  <c r="D31" i="11"/>
  <c r="F31" i="11"/>
  <c r="B349" i="4"/>
  <c r="E349" i="4"/>
  <c r="AP31" i="11"/>
  <c r="AZ31" i="11"/>
  <c r="BA31" i="11"/>
  <c r="E30" i="11"/>
  <c r="AL30" i="11"/>
  <c r="AH30" i="11"/>
  <c r="AD30" i="11"/>
  <c r="AM30" i="11"/>
  <c r="AK30" i="11"/>
  <c r="AJ30" i="11"/>
  <c r="AF30" i="11"/>
  <c r="AB30" i="11"/>
  <c r="AE30" i="11"/>
  <c r="BN27" i="5"/>
  <c r="G349" i="4"/>
  <c r="I349" i="4"/>
  <c r="C348" i="4"/>
  <c r="F349" i="4"/>
  <c r="AM31" i="11"/>
  <c r="AE31" i="11"/>
  <c r="AD31" i="11"/>
  <c r="AJ31" i="11"/>
  <c r="AF31" i="11"/>
  <c r="AK31" i="11"/>
  <c r="AL31" i="11"/>
  <c r="AB31" i="11"/>
  <c r="AH31" i="11"/>
  <c r="H349" i="4"/>
  <c r="D349" i="4"/>
  <c r="E31" i="11"/>
  <c r="AX32" i="11"/>
  <c r="F32" i="11"/>
  <c r="B350" i="4"/>
  <c r="C32" i="11"/>
  <c r="A32" i="11"/>
  <c r="BB32" i="11"/>
  <c r="AP32" i="11"/>
  <c r="AZ32" i="11"/>
  <c r="D32" i="11"/>
  <c r="AS32" i="11"/>
  <c r="AY32" i="11"/>
  <c r="B33" i="11"/>
  <c r="BN28" i="5"/>
  <c r="U29" i="5"/>
  <c r="BN29" i="5"/>
  <c r="E350" i="4"/>
  <c r="C349" i="4"/>
  <c r="H350" i="4"/>
  <c r="G350" i="4"/>
  <c r="BA32" i="11"/>
  <c r="F350" i="4"/>
  <c r="I350" i="4"/>
  <c r="D350" i="4"/>
  <c r="AS33" i="11"/>
  <c r="AY33" i="11"/>
  <c r="A33" i="11"/>
  <c r="AX33" i="11"/>
  <c r="BB33" i="11"/>
  <c r="B34" i="11"/>
  <c r="C33" i="11"/>
  <c r="D33" i="11"/>
  <c r="F33" i="11"/>
  <c r="B351" i="4"/>
  <c r="G351" i="4"/>
  <c r="AP33" i="11"/>
  <c r="AZ33" i="11"/>
  <c r="E32" i="11"/>
  <c r="AL32" i="11"/>
  <c r="AH32" i="11"/>
  <c r="AD32" i="11"/>
  <c r="AM32" i="11"/>
  <c r="AK32" i="11"/>
  <c r="AJ32" i="11"/>
  <c r="AF32" i="11"/>
  <c r="AB32" i="11"/>
  <c r="AE32" i="11"/>
  <c r="W29" i="5"/>
  <c r="U30" i="5"/>
  <c r="W30" i="5"/>
  <c r="I351" i="4"/>
  <c r="E351" i="4"/>
  <c r="C350" i="4"/>
  <c r="BA33" i="11"/>
  <c r="H351" i="4"/>
  <c r="AM33" i="11"/>
  <c r="AE33" i="11"/>
  <c r="AD33" i="11"/>
  <c r="AJ33" i="11"/>
  <c r="AF33" i="11"/>
  <c r="AK33" i="11"/>
  <c r="AL33" i="11"/>
  <c r="AB33" i="11"/>
  <c r="AH33" i="11"/>
  <c r="F351" i="4"/>
  <c r="D351" i="4"/>
  <c r="E33" i="11"/>
  <c r="AX34" i="11"/>
  <c r="F34" i="11"/>
  <c r="B352" i="4"/>
  <c r="D352" i="4"/>
  <c r="C34" i="11"/>
  <c r="A34" i="11"/>
  <c r="BB34" i="11"/>
  <c r="AP34" i="11"/>
  <c r="AZ34" i="11"/>
  <c r="D34" i="11"/>
  <c r="AS34" i="11"/>
  <c r="AY34" i="11"/>
  <c r="B35" i="11"/>
  <c r="U31" i="5"/>
  <c r="W31" i="5"/>
  <c r="BN30" i="5"/>
  <c r="E352" i="4"/>
  <c r="C351" i="4"/>
  <c r="I352" i="4"/>
  <c r="H352" i="4"/>
  <c r="F352" i="4"/>
  <c r="G352" i="4"/>
  <c r="BA34" i="11"/>
  <c r="AX35" i="11"/>
  <c r="B36" i="11"/>
  <c r="U32" i="5"/>
  <c r="W32" i="5"/>
  <c r="C35" i="11"/>
  <c r="D35" i="11"/>
  <c r="BB35" i="11"/>
  <c r="AP35" i="11"/>
  <c r="AZ35" i="11"/>
  <c r="AS35" i="11"/>
  <c r="AY35" i="11"/>
  <c r="H353" i="4"/>
  <c r="A35" i="11"/>
  <c r="F35" i="11"/>
  <c r="B353" i="4"/>
  <c r="E34" i="11"/>
  <c r="AL34" i="11"/>
  <c r="AH34" i="11"/>
  <c r="AD34" i="11"/>
  <c r="AM34" i="11"/>
  <c r="AK34" i="11"/>
  <c r="AJ34" i="11"/>
  <c r="AF34" i="11"/>
  <c r="AB34" i="11"/>
  <c r="AE34" i="11"/>
  <c r="BN31" i="5"/>
  <c r="I353" i="4"/>
  <c r="F353" i="4"/>
  <c r="D353" i="4"/>
  <c r="E353" i="4"/>
  <c r="G353" i="4"/>
  <c r="C352" i="4"/>
  <c r="BA35" i="11"/>
  <c r="E35" i="11"/>
  <c r="B37" i="11"/>
  <c r="C36" i="11"/>
  <c r="BB36" i="11"/>
  <c r="AP36" i="11"/>
  <c r="AZ36" i="11"/>
  <c r="D36" i="11"/>
  <c r="AS36" i="11"/>
  <c r="AY36" i="11"/>
  <c r="A36" i="11"/>
  <c r="AX36" i="11"/>
  <c r="F36" i="11"/>
  <c r="B354" i="4"/>
  <c r="H354" i="4"/>
  <c r="AJ35" i="11"/>
  <c r="AF35" i="11"/>
  <c r="AB35" i="11"/>
  <c r="AM35" i="11"/>
  <c r="AL35" i="11"/>
  <c r="AH35" i="11"/>
  <c r="AD35" i="11"/>
  <c r="AK35" i="11"/>
  <c r="AE35" i="11"/>
  <c r="U33" i="5"/>
  <c r="W33" i="5"/>
  <c r="BN32" i="5"/>
  <c r="G354" i="4"/>
  <c r="E354" i="4"/>
  <c r="C353" i="4"/>
  <c r="I354" i="4"/>
  <c r="BN33" i="5"/>
  <c r="D354" i="4"/>
  <c r="F354" i="4"/>
  <c r="BA36" i="11"/>
  <c r="AK36" i="11"/>
  <c r="AJ36" i="11"/>
  <c r="AF36" i="11"/>
  <c r="AD36" i="11"/>
  <c r="AM36" i="11"/>
  <c r="AE36" i="11"/>
  <c r="AH36" i="11"/>
  <c r="AL36" i="11"/>
  <c r="AB36" i="11"/>
  <c r="E36" i="11"/>
  <c r="BB37" i="11"/>
  <c r="AP37" i="11"/>
  <c r="AZ37" i="11"/>
  <c r="D37" i="11"/>
  <c r="AS37" i="11"/>
  <c r="AY37" i="11"/>
  <c r="C37" i="11"/>
  <c r="AX37" i="11"/>
  <c r="F37" i="11"/>
  <c r="B355" i="4"/>
  <c r="E355" i="4"/>
  <c r="B38" i="11"/>
  <c r="K42" i="11"/>
  <c r="A37" i="11"/>
  <c r="BA37" i="11"/>
  <c r="C354" i="4"/>
  <c r="H355" i="4"/>
  <c r="I355" i="4"/>
  <c r="D355" i="4"/>
  <c r="F355" i="4"/>
  <c r="G355" i="4"/>
  <c r="B8" i="12"/>
  <c r="C38" i="11"/>
  <c r="BB38" i="11"/>
  <c r="AP38" i="11"/>
  <c r="AZ38" i="11"/>
  <c r="D38" i="11"/>
  <c r="AS38" i="11"/>
  <c r="AY38" i="11"/>
  <c r="A38" i="11"/>
  <c r="AX38" i="11"/>
  <c r="F38" i="11"/>
  <c r="B356" i="4"/>
  <c r="I356" i="4"/>
  <c r="U34" i="5"/>
  <c r="BN34" i="5"/>
  <c r="AL37" i="11"/>
  <c r="AH37" i="11"/>
  <c r="AD37" i="11"/>
  <c r="AK37" i="11"/>
  <c r="AE37" i="11"/>
  <c r="AJ37" i="11"/>
  <c r="AF37" i="11"/>
  <c r="AB37" i="11"/>
  <c r="AM37" i="11"/>
  <c r="E37" i="11"/>
  <c r="C355" i="4"/>
  <c r="W34" i="5"/>
  <c r="E356" i="4"/>
  <c r="E357" i="4" s="1"/>
  <c r="G356" i="4"/>
  <c r="G357" i="4" s="1"/>
  <c r="D356" i="4"/>
  <c r="BA38" i="11"/>
  <c r="E38" i="11"/>
  <c r="E4" i="12"/>
  <c r="BB8" i="12"/>
  <c r="D8" i="12"/>
  <c r="AS8" i="12"/>
  <c r="AY8" i="12"/>
  <c r="A8" i="12"/>
  <c r="AP8" i="12"/>
  <c r="AZ8" i="12"/>
  <c r="F8" i="12"/>
  <c r="B378" i="4"/>
  <c r="E378" i="4"/>
  <c r="B9" i="12"/>
  <c r="C8" i="12"/>
  <c r="AX8" i="12"/>
  <c r="H356" i="4"/>
  <c r="H357" i="4" s="1"/>
  <c r="F356" i="4"/>
  <c r="F357" i="4" s="1"/>
  <c r="X4" i="5"/>
  <c r="Z4" i="5"/>
  <c r="AK38" i="11"/>
  <c r="AK40" i="11"/>
  <c r="AK41" i="11"/>
  <c r="AK39" i="12"/>
  <c r="AJ38" i="11"/>
  <c r="AJ40" i="11"/>
  <c r="AJ41" i="11"/>
  <c r="AJ39" i="12"/>
  <c r="AF38" i="11"/>
  <c r="AF40" i="11"/>
  <c r="AF41" i="11"/>
  <c r="AF39" i="12"/>
  <c r="AD38" i="11"/>
  <c r="AD40" i="11"/>
  <c r="AD41" i="11"/>
  <c r="AD39" i="12"/>
  <c r="AM38" i="11"/>
  <c r="AM40" i="11"/>
  <c r="AM41" i="11"/>
  <c r="AM39" i="12"/>
  <c r="AE38" i="11"/>
  <c r="AE40" i="11"/>
  <c r="AE41" i="11"/>
  <c r="AE39" i="12"/>
  <c r="AH38" i="11"/>
  <c r="AH40" i="11"/>
  <c r="AH41" i="11"/>
  <c r="AH39" i="12"/>
  <c r="AL38" i="11"/>
  <c r="AL40" i="11"/>
  <c r="AL41" i="11"/>
  <c r="AL39" i="12"/>
  <c r="AB38" i="11"/>
  <c r="AB40" i="11"/>
  <c r="X5" i="5"/>
  <c r="BR5" i="5"/>
  <c r="G378" i="4"/>
  <c r="I378" i="4"/>
  <c r="D378" i="4"/>
  <c r="C356" i="4"/>
  <c r="H378" i="4"/>
  <c r="F378" i="4"/>
  <c r="BA8" i="12"/>
  <c r="AB41" i="11"/>
  <c r="K40" i="11"/>
  <c r="AS9" i="12"/>
  <c r="AY9" i="12"/>
  <c r="A9" i="12"/>
  <c r="AX9" i="12"/>
  <c r="F9" i="12"/>
  <c r="B379" i="4"/>
  <c r="B10" i="12"/>
  <c r="BB9" i="12"/>
  <c r="D9" i="12"/>
  <c r="C9" i="12"/>
  <c r="AP9" i="12"/>
  <c r="AZ9" i="12"/>
  <c r="BA9" i="12"/>
  <c r="BR4" i="5"/>
  <c r="AL8" i="12"/>
  <c r="AH8" i="12"/>
  <c r="AD8" i="12"/>
  <c r="AM8" i="12"/>
  <c r="AE8" i="12"/>
  <c r="AF8" i="12"/>
  <c r="AK8" i="12"/>
  <c r="AJ8" i="12"/>
  <c r="AB8" i="12"/>
  <c r="E8" i="12"/>
  <c r="Z5" i="5"/>
  <c r="X6" i="5"/>
  <c r="BR6" i="5"/>
  <c r="I379" i="4"/>
  <c r="G379" i="4"/>
  <c r="D379" i="4"/>
  <c r="E379" i="4"/>
  <c r="D372" i="4"/>
  <c r="C378" i="4"/>
  <c r="K41" i="11"/>
  <c r="AB39" i="12"/>
  <c r="K39" i="12"/>
  <c r="F379" i="4"/>
  <c r="H379" i="4"/>
  <c r="E9" i="12"/>
  <c r="AX10" i="12"/>
  <c r="F10" i="12"/>
  <c r="B380" i="4"/>
  <c r="E380" i="4"/>
  <c r="B11" i="12"/>
  <c r="X7" i="5"/>
  <c r="AS10" i="12"/>
  <c r="AY10" i="12"/>
  <c r="A10" i="12"/>
  <c r="BB10" i="12"/>
  <c r="AP10" i="12"/>
  <c r="AZ10" i="12"/>
  <c r="D10" i="12"/>
  <c r="C10" i="12"/>
  <c r="AM9" i="12"/>
  <c r="AE9" i="12"/>
  <c r="AJ9" i="12"/>
  <c r="AF9" i="12"/>
  <c r="AB9" i="12"/>
  <c r="AK9" i="12"/>
  <c r="AL9" i="12"/>
  <c r="AH9" i="12"/>
  <c r="AD9" i="12"/>
  <c r="Z6" i="5"/>
  <c r="G380" i="4"/>
  <c r="D380" i="4"/>
  <c r="C379" i="4"/>
  <c r="BR7" i="5"/>
  <c r="Z7" i="5"/>
  <c r="BA10" i="12"/>
  <c r="I380" i="4"/>
  <c r="H380" i="4"/>
  <c r="F380" i="4"/>
  <c r="B12" i="12"/>
  <c r="C11" i="12"/>
  <c r="BB11" i="12"/>
  <c r="AP11" i="12"/>
  <c r="AZ11" i="12"/>
  <c r="D11" i="12"/>
  <c r="AS11" i="12"/>
  <c r="AY11" i="12"/>
  <c r="A11" i="12"/>
  <c r="AX11" i="12"/>
  <c r="F11" i="12"/>
  <c r="B381" i="4"/>
  <c r="G381" i="4"/>
  <c r="AJ10" i="12"/>
  <c r="AF10" i="12"/>
  <c r="AB10" i="12"/>
  <c r="AK10" i="12"/>
  <c r="AL10" i="12"/>
  <c r="AH10" i="12"/>
  <c r="AD10" i="12"/>
  <c r="AM10" i="12"/>
  <c r="AE10" i="12"/>
  <c r="E10" i="12"/>
  <c r="E381" i="4"/>
  <c r="C380" i="4"/>
  <c r="F381" i="4"/>
  <c r="H381" i="4"/>
  <c r="E11" i="12"/>
  <c r="AX12" i="12"/>
  <c r="F382" i="4"/>
  <c r="F12" i="12"/>
  <c r="B382" i="4"/>
  <c r="G382" i="4"/>
  <c r="B13" i="12"/>
  <c r="C12" i="12"/>
  <c r="BB12" i="12"/>
  <c r="AP12" i="12"/>
  <c r="AZ12" i="12"/>
  <c r="D12" i="12"/>
  <c r="AS12" i="12"/>
  <c r="AY12" i="12"/>
  <c r="A12" i="12"/>
  <c r="D381" i="4"/>
  <c r="I381" i="4"/>
  <c r="X8" i="5"/>
  <c r="Z8" i="5"/>
  <c r="BA11" i="12"/>
  <c r="AM11" i="12"/>
  <c r="AE11" i="12"/>
  <c r="AJ11" i="12"/>
  <c r="AF11" i="12"/>
  <c r="AB11" i="12"/>
  <c r="AK11" i="12"/>
  <c r="AL11" i="12"/>
  <c r="AH11" i="12"/>
  <c r="AD11" i="12"/>
  <c r="BR8" i="5"/>
  <c r="X9" i="5"/>
  <c r="BR9" i="5"/>
  <c r="H382" i="4"/>
  <c r="E382" i="4"/>
  <c r="C381" i="4"/>
  <c r="BA12" i="12"/>
  <c r="AL12" i="12"/>
  <c r="AH12" i="12"/>
  <c r="AD12" i="12"/>
  <c r="AM12" i="12"/>
  <c r="AE12" i="12"/>
  <c r="AJ12" i="12"/>
  <c r="AF12" i="12"/>
  <c r="AB12" i="12"/>
  <c r="AK12" i="12"/>
  <c r="D382" i="4"/>
  <c r="I382" i="4"/>
  <c r="E12" i="12"/>
  <c r="AX13" i="12"/>
  <c r="C13" i="12"/>
  <c r="B14" i="12"/>
  <c r="X10" i="5"/>
  <c r="BR10" i="5"/>
  <c r="F13" i="12"/>
  <c r="B383" i="4"/>
  <c r="BB13" i="12"/>
  <c r="AP13" i="12"/>
  <c r="AZ13" i="12"/>
  <c r="A13" i="12"/>
  <c r="AS13" i="12"/>
  <c r="AY13" i="12"/>
  <c r="D13" i="12"/>
  <c r="Z9" i="5"/>
  <c r="E383" i="4"/>
  <c r="C382" i="4"/>
  <c r="H383" i="4"/>
  <c r="F383" i="4"/>
  <c r="I383" i="4"/>
  <c r="AL13" i="12"/>
  <c r="AM13" i="12"/>
  <c r="AK13" i="12"/>
  <c r="AF13" i="12"/>
  <c r="AB13" i="12"/>
  <c r="AJ13" i="12"/>
  <c r="AE13" i="12"/>
  <c r="AH13" i="12"/>
  <c r="AD13" i="12"/>
  <c r="D383" i="4"/>
  <c r="G383" i="4"/>
  <c r="E13" i="12"/>
  <c r="AS14" i="12"/>
  <c r="AY14" i="12"/>
  <c r="A14" i="12"/>
  <c r="BB14" i="12"/>
  <c r="AP14" i="12"/>
  <c r="AZ14" i="12"/>
  <c r="B15" i="12"/>
  <c r="C14" i="12"/>
  <c r="D14" i="12"/>
  <c r="AX14" i="12"/>
  <c r="F14" i="12"/>
  <c r="B384" i="4"/>
  <c r="D384" i="4"/>
  <c r="BA13" i="12"/>
  <c r="Z10" i="5"/>
  <c r="C383" i="4"/>
  <c r="F384" i="4"/>
  <c r="I384" i="4"/>
  <c r="BA14" i="12"/>
  <c r="H384" i="4"/>
  <c r="E14" i="12"/>
  <c r="AX15" i="12"/>
  <c r="F15" i="12"/>
  <c r="B385" i="4"/>
  <c r="D385" i="4"/>
  <c r="C15" i="12"/>
  <c r="AS15" i="12"/>
  <c r="AY15" i="12"/>
  <c r="BB15" i="12"/>
  <c r="AP15" i="12"/>
  <c r="AZ15" i="12"/>
  <c r="D15" i="12"/>
  <c r="B16" i="12"/>
  <c r="A15" i="12"/>
  <c r="G384" i="4"/>
  <c r="E384" i="4"/>
  <c r="X11" i="5"/>
  <c r="BR11" i="5"/>
  <c r="AM14" i="12"/>
  <c r="AE14" i="12"/>
  <c r="AD14" i="12"/>
  <c r="AJ14" i="12"/>
  <c r="AF14" i="12"/>
  <c r="AK14" i="12"/>
  <c r="AL14" i="12"/>
  <c r="AB14" i="12"/>
  <c r="AH14" i="12"/>
  <c r="X12" i="5"/>
  <c r="Z12" i="5"/>
  <c r="C384" i="4"/>
  <c r="H385" i="4"/>
  <c r="E385" i="4"/>
  <c r="BA15" i="12"/>
  <c r="F385" i="4"/>
  <c r="Z11" i="5"/>
  <c r="B17" i="12"/>
  <c r="X13" i="5"/>
  <c r="Z13" i="5"/>
  <c r="C16" i="12"/>
  <c r="D16" i="12"/>
  <c r="AX16" i="12"/>
  <c r="F16" i="12"/>
  <c r="B386" i="4"/>
  <c r="D386" i="4"/>
  <c r="AS16" i="12"/>
  <c r="AY16" i="12"/>
  <c r="A16" i="12"/>
  <c r="BB16" i="12"/>
  <c r="AP16" i="12"/>
  <c r="AZ16" i="12"/>
  <c r="G385" i="4"/>
  <c r="I385" i="4"/>
  <c r="E15" i="12"/>
  <c r="AJ15" i="12"/>
  <c r="AF15" i="12"/>
  <c r="AB15" i="12"/>
  <c r="AE15" i="12"/>
  <c r="AL15" i="12"/>
  <c r="AH15" i="12"/>
  <c r="AD15" i="12"/>
  <c r="AM15" i="12"/>
  <c r="AK15" i="12"/>
  <c r="BR12" i="5"/>
  <c r="C385" i="4"/>
  <c r="E386" i="4"/>
  <c r="BA16" i="12"/>
  <c r="G386" i="4"/>
  <c r="I386" i="4"/>
  <c r="F386" i="4"/>
  <c r="H386" i="4"/>
  <c r="AM16" i="12"/>
  <c r="AE16" i="12"/>
  <c r="AD16" i="12"/>
  <c r="AJ16" i="12"/>
  <c r="AF16" i="12"/>
  <c r="AK16" i="12"/>
  <c r="AL16" i="12"/>
  <c r="AB16" i="12"/>
  <c r="AH16" i="12"/>
  <c r="E16" i="12"/>
  <c r="AX17" i="12"/>
  <c r="F17" i="12"/>
  <c r="B387" i="4"/>
  <c r="E387" i="4"/>
  <c r="B18" i="12"/>
  <c r="X14" i="5"/>
  <c r="BR14" i="5"/>
  <c r="A17" i="12"/>
  <c r="BB17" i="12"/>
  <c r="AP17" i="12"/>
  <c r="AZ17" i="12"/>
  <c r="D17" i="12"/>
  <c r="C17" i="12"/>
  <c r="AS17" i="12"/>
  <c r="AY17" i="12"/>
  <c r="H387" i="4"/>
  <c r="BR13" i="5"/>
  <c r="C386" i="4"/>
  <c r="G387" i="4"/>
  <c r="BA17" i="12"/>
  <c r="E17" i="12"/>
  <c r="AS18" i="12"/>
  <c r="AY18" i="12"/>
  <c r="A18" i="12"/>
  <c r="BB18" i="12"/>
  <c r="AP18" i="12"/>
  <c r="AZ18" i="12"/>
  <c r="B19" i="12"/>
  <c r="C18" i="12"/>
  <c r="D18" i="12"/>
  <c r="AX18" i="12"/>
  <c r="F18" i="12"/>
  <c r="B388" i="4"/>
  <c r="D388" i="4"/>
  <c r="I387" i="4"/>
  <c r="F387" i="4"/>
  <c r="D387" i="4"/>
  <c r="AJ17" i="12"/>
  <c r="AF17" i="12"/>
  <c r="AB17" i="12"/>
  <c r="AE17" i="12"/>
  <c r="AL17" i="12"/>
  <c r="AH17" i="12"/>
  <c r="AD17" i="12"/>
  <c r="AM17" i="12"/>
  <c r="AK17" i="12"/>
  <c r="Z14" i="5"/>
  <c r="E388" i="4"/>
  <c r="C387" i="4"/>
  <c r="F388" i="4"/>
  <c r="G388" i="4"/>
  <c r="E18" i="12"/>
  <c r="BB19" i="12"/>
  <c r="AP19" i="12"/>
  <c r="AZ19" i="12"/>
  <c r="D19" i="12"/>
  <c r="B20" i="12"/>
  <c r="A19" i="12"/>
  <c r="AX19" i="12"/>
  <c r="F19" i="12"/>
  <c r="B389" i="4"/>
  <c r="G389" i="4"/>
  <c r="C19" i="12"/>
  <c r="AS19" i="12"/>
  <c r="AY19" i="12"/>
  <c r="I388" i="4"/>
  <c r="H388" i="4"/>
  <c r="X15" i="5"/>
  <c r="BR15" i="5"/>
  <c r="AK18" i="12"/>
  <c r="AL18" i="12"/>
  <c r="AB18" i="12"/>
  <c r="AH18" i="12"/>
  <c r="AM18" i="12"/>
  <c r="AE18" i="12"/>
  <c r="AD18" i="12"/>
  <c r="AJ18" i="12"/>
  <c r="AF18" i="12"/>
  <c r="BA18" i="12"/>
  <c r="H389" i="4"/>
  <c r="D389" i="4"/>
  <c r="C388" i="4"/>
  <c r="E389" i="4"/>
  <c r="I389" i="4"/>
  <c r="X16" i="5"/>
  <c r="Z16" i="5"/>
  <c r="BA19" i="12"/>
  <c r="Z15" i="5"/>
  <c r="F389" i="4"/>
  <c r="AJ19" i="12"/>
  <c r="AF19" i="12"/>
  <c r="AB19" i="12"/>
  <c r="AE19" i="12"/>
  <c r="AL19" i="12"/>
  <c r="AH19" i="12"/>
  <c r="AD19" i="12"/>
  <c r="AM19" i="12"/>
  <c r="AK19" i="12"/>
  <c r="B21" i="12"/>
  <c r="C20" i="12"/>
  <c r="D20" i="12"/>
  <c r="AX20" i="12"/>
  <c r="F20" i="12"/>
  <c r="B390" i="4"/>
  <c r="G390" i="4"/>
  <c r="AS20" i="12"/>
  <c r="AY20" i="12"/>
  <c r="A20" i="12"/>
  <c r="BB20" i="12"/>
  <c r="AP20" i="12"/>
  <c r="AZ20" i="12"/>
  <c r="E19" i="12"/>
  <c r="BR16" i="5"/>
  <c r="X17" i="5"/>
  <c r="BR17" i="5"/>
  <c r="E390" i="4"/>
  <c r="C389" i="4"/>
  <c r="H390" i="4"/>
  <c r="F390" i="4"/>
  <c r="E20" i="12"/>
  <c r="BB21" i="12"/>
  <c r="AP21" i="12"/>
  <c r="AZ21" i="12"/>
  <c r="D21" i="12"/>
  <c r="B22" i="12"/>
  <c r="X18" i="5"/>
  <c r="BR18" i="5"/>
  <c r="A21" i="12"/>
  <c r="AX21" i="12"/>
  <c r="F21" i="12"/>
  <c r="B391" i="4"/>
  <c r="I391" i="4"/>
  <c r="C21" i="12"/>
  <c r="AS21" i="12"/>
  <c r="AY21" i="12"/>
  <c r="D390" i="4"/>
  <c r="I390" i="4"/>
  <c r="BA20" i="12"/>
  <c r="AK20" i="12"/>
  <c r="AL20" i="12"/>
  <c r="AB20" i="12"/>
  <c r="AH20" i="12"/>
  <c r="AM20" i="12"/>
  <c r="AE20" i="12"/>
  <c r="AD20" i="12"/>
  <c r="AJ20" i="12"/>
  <c r="AF20" i="12"/>
  <c r="Z17" i="5"/>
  <c r="C390" i="4"/>
  <c r="E391" i="4"/>
  <c r="BA21" i="12"/>
  <c r="H391" i="4"/>
  <c r="D391" i="4"/>
  <c r="G391" i="4"/>
  <c r="F391" i="4"/>
  <c r="AJ21" i="12"/>
  <c r="AF21" i="12"/>
  <c r="AB21" i="12"/>
  <c r="AE21" i="12"/>
  <c r="AL21" i="12"/>
  <c r="AH21" i="12"/>
  <c r="AD21" i="12"/>
  <c r="AM21" i="12"/>
  <c r="AK21" i="12"/>
  <c r="B23" i="12"/>
  <c r="C22" i="12"/>
  <c r="D22" i="12"/>
  <c r="AX22" i="12"/>
  <c r="F22" i="12"/>
  <c r="B392" i="4"/>
  <c r="I392" i="4"/>
  <c r="AS22" i="12"/>
  <c r="AY22" i="12"/>
  <c r="A22" i="12"/>
  <c r="BB22" i="12"/>
  <c r="AP22" i="12"/>
  <c r="AZ22" i="12"/>
  <c r="E21" i="12"/>
  <c r="Z18" i="5"/>
  <c r="C391" i="4"/>
  <c r="G392" i="4"/>
  <c r="H392" i="4"/>
  <c r="E22" i="12"/>
  <c r="BB23" i="12"/>
  <c r="AP23" i="12"/>
  <c r="AZ23" i="12"/>
  <c r="D23" i="12"/>
  <c r="B24" i="12"/>
  <c r="X20" i="5"/>
  <c r="Z20" i="5"/>
  <c r="A23" i="12"/>
  <c r="AX23" i="12"/>
  <c r="F23" i="12"/>
  <c r="B393" i="4"/>
  <c r="D393" i="4"/>
  <c r="C23" i="12"/>
  <c r="AS23" i="12"/>
  <c r="AY23" i="12"/>
  <c r="E392" i="4"/>
  <c r="F392" i="4"/>
  <c r="D392" i="4"/>
  <c r="X19" i="5"/>
  <c r="BR19" i="5"/>
  <c r="BA22" i="12"/>
  <c r="AK22" i="12"/>
  <c r="AL22" i="12"/>
  <c r="AB22" i="12"/>
  <c r="AH22" i="12"/>
  <c r="AM22" i="12"/>
  <c r="AE22" i="12"/>
  <c r="AD22" i="12"/>
  <c r="AJ22" i="12"/>
  <c r="AF22" i="12"/>
  <c r="C392" i="4"/>
  <c r="F393" i="4"/>
  <c r="E393" i="4"/>
  <c r="H393" i="4"/>
  <c r="Z19" i="5"/>
  <c r="E23" i="12"/>
  <c r="G393" i="4"/>
  <c r="I393" i="4"/>
  <c r="AJ23" i="12"/>
  <c r="AF23" i="12"/>
  <c r="AB23" i="12"/>
  <c r="AE23" i="12"/>
  <c r="AL23" i="12"/>
  <c r="AH23" i="12"/>
  <c r="AD23" i="12"/>
  <c r="AM23" i="12"/>
  <c r="AK23" i="12"/>
  <c r="B25" i="12"/>
  <c r="X21" i="5"/>
  <c r="Z21" i="5"/>
  <c r="C24" i="12"/>
  <c r="D24" i="12"/>
  <c r="AX24" i="12"/>
  <c r="F24" i="12"/>
  <c r="B394" i="4"/>
  <c r="E394" i="4"/>
  <c r="AS24" i="12"/>
  <c r="AY24" i="12"/>
  <c r="A24" i="12"/>
  <c r="BB24" i="12"/>
  <c r="AP24" i="12"/>
  <c r="AZ24" i="12"/>
  <c r="BA23" i="12"/>
  <c r="BR20" i="5"/>
  <c r="C393" i="4"/>
  <c r="G394" i="4"/>
  <c r="D394" i="4"/>
  <c r="I394" i="4"/>
  <c r="H394" i="4"/>
  <c r="BA24" i="12"/>
  <c r="AM24" i="12"/>
  <c r="AE24" i="12"/>
  <c r="AD24" i="12"/>
  <c r="AJ24" i="12"/>
  <c r="AF24" i="12"/>
  <c r="AK24" i="12"/>
  <c r="AL24" i="12"/>
  <c r="AB24" i="12"/>
  <c r="AH24" i="12"/>
  <c r="F394" i="4"/>
  <c r="E24" i="12"/>
  <c r="AX25" i="12"/>
  <c r="F395" i="4"/>
  <c r="F25" i="12"/>
  <c r="B395" i="4"/>
  <c r="E395" i="4"/>
  <c r="C25" i="12"/>
  <c r="AS25" i="12"/>
  <c r="AY25" i="12"/>
  <c r="BB25" i="12"/>
  <c r="AP25" i="12"/>
  <c r="AZ25" i="12"/>
  <c r="D25" i="12"/>
  <c r="B26" i="12"/>
  <c r="A25" i="12"/>
  <c r="BR21" i="5"/>
  <c r="C394" i="4"/>
  <c r="H395" i="4"/>
  <c r="D395" i="4"/>
  <c r="BA25" i="12"/>
  <c r="B27" i="12"/>
  <c r="C26" i="12"/>
  <c r="D26" i="12"/>
  <c r="AX26" i="12"/>
  <c r="F26" i="12"/>
  <c r="B396" i="4"/>
  <c r="AS26" i="12"/>
  <c r="AY26" i="12"/>
  <c r="H396" i="4"/>
  <c r="A26" i="12"/>
  <c r="BB26" i="12"/>
  <c r="AP26" i="12"/>
  <c r="AZ26" i="12"/>
  <c r="I395" i="4"/>
  <c r="G395" i="4"/>
  <c r="X22" i="5"/>
  <c r="Z22" i="5"/>
  <c r="E25" i="12"/>
  <c r="AJ25" i="12"/>
  <c r="AF25" i="12"/>
  <c r="AB25" i="12"/>
  <c r="AE25" i="12"/>
  <c r="AL25" i="12"/>
  <c r="AH25" i="12"/>
  <c r="AD25" i="12"/>
  <c r="AM25" i="12"/>
  <c r="AK25" i="12"/>
  <c r="X23" i="5"/>
  <c r="BR23" i="5"/>
  <c r="E396" i="4"/>
  <c r="G396" i="4"/>
  <c r="D396" i="4"/>
  <c r="I396" i="4"/>
  <c r="C395" i="4"/>
  <c r="BA26" i="12"/>
  <c r="AM26" i="12"/>
  <c r="AE26" i="12"/>
  <c r="AD26" i="12"/>
  <c r="AJ26" i="12"/>
  <c r="AF26" i="12"/>
  <c r="AK26" i="12"/>
  <c r="AL26" i="12"/>
  <c r="AB26" i="12"/>
  <c r="AH26" i="12"/>
  <c r="F396" i="4"/>
  <c r="BR22" i="5"/>
  <c r="E26" i="12"/>
  <c r="AX27" i="12"/>
  <c r="F27" i="12"/>
  <c r="B397" i="4"/>
  <c r="I397" i="4"/>
  <c r="C27" i="12"/>
  <c r="AS27" i="12"/>
  <c r="AY27" i="12"/>
  <c r="BB27" i="12"/>
  <c r="AP27" i="12"/>
  <c r="AZ27" i="12"/>
  <c r="D27" i="12"/>
  <c r="B28" i="12"/>
  <c r="A27" i="12"/>
  <c r="Z23" i="5"/>
  <c r="G397" i="4"/>
  <c r="C396" i="4"/>
  <c r="D397" i="4"/>
  <c r="BA27" i="12"/>
  <c r="BB28" i="12"/>
  <c r="AP28" i="12"/>
  <c r="AZ28" i="12"/>
  <c r="A28" i="12"/>
  <c r="D28" i="12"/>
  <c r="F28" i="12"/>
  <c r="B398" i="4"/>
  <c r="G398" i="4"/>
  <c r="AX28" i="12"/>
  <c r="C28" i="12"/>
  <c r="AS28" i="12"/>
  <c r="AY28" i="12"/>
  <c r="B29" i="12"/>
  <c r="E397" i="4"/>
  <c r="H397" i="4"/>
  <c r="F397" i="4"/>
  <c r="X24" i="5"/>
  <c r="E27" i="12"/>
  <c r="AJ27" i="12"/>
  <c r="AF27" i="12"/>
  <c r="AB27" i="12"/>
  <c r="AE27" i="12"/>
  <c r="AL27" i="12"/>
  <c r="AH27" i="12"/>
  <c r="AD27" i="12"/>
  <c r="AM27" i="12"/>
  <c r="AK27" i="12"/>
  <c r="C397" i="4"/>
  <c r="I398" i="4"/>
  <c r="E398" i="4"/>
  <c r="Z24" i="5"/>
  <c r="BR24" i="5"/>
  <c r="AS29" i="12"/>
  <c r="AY29" i="12"/>
  <c r="A29" i="12"/>
  <c r="AX29" i="12"/>
  <c r="BB29" i="12"/>
  <c r="B30" i="12"/>
  <c r="C29" i="12"/>
  <c r="D29" i="12"/>
  <c r="F29" i="12"/>
  <c r="B399" i="4"/>
  <c r="AP29" i="12"/>
  <c r="AZ29" i="12"/>
  <c r="BA29" i="12"/>
  <c r="AL28" i="12"/>
  <c r="AH28" i="12"/>
  <c r="AD28" i="12"/>
  <c r="AM28" i="12"/>
  <c r="AK28" i="12"/>
  <c r="AJ28" i="12"/>
  <c r="AF28" i="12"/>
  <c r="AB28" i="12"/>
  <c r="AE28" i="12"/>
  <c r="D398" i="4"/>
  <c r="F398" i="4"/>
  <c r="H398" i="4"/>
  <c r="X25" i="5"/>
  <c r="Z25" i="5"/>
  <c r="E28" i="12"/>
  <c r="BA28" i="12"/>
  <c r="I399" i="4"/>
  <c r="G399" i="4"/>
  <c r="E399" i="4"/>
  <c r="D399" i="4"/>
  <c r="C398" i="4"/>
  <c r="X26" i="5"/>
  <c r="Z26" i="5"/>
  <c r="BR25" i="5"/>
  <c r="F399" i="4"/>
  <c r="H399" i="4"/>
  <c r="E29" i="12"/>
  <c r="BB30" i="12"/>
  <c r="AP30" i="12"/>
  <c r="AZ30" i="12"/>
  <c r="D30" i="12"/>
  <c r="AS30" i="12"/>
  <c r="AY30" i="12"/>
  <c r="B31" i="12"/>
  <c r="X27" i="5"/>
  <c r="BR27" i="5"/>
  <c r="AX30" i="12"/>
  <c r="BA30" i="12"/>
  <c r="F30" i="12"/>
  <c r="B400" i="4"/>
  <c r="D400" i="4"/>
  <c r="C30" i="12"/>
  <c r="A30" i="12"/>
  <c r="AK29" i="12"/>
  <c r="AL29" i="12"/>
  <c r="AB29" i="12"/>
  <c r="AH29" i="12"/>
  <c r="AM29" i="12"/>
  <c r="AE29" i="12"/>
  <c r="AD29" i="12"/>
  <c r="AJ29" i="12"/>
  <c r="AF29" i="12"/>
  <c r="BR26" i="5"/>
  <c r="G400" i="4"/>
  <c r="C399" i="4"/>
  <c r="I400" i="4"/>
  <c r="F400" i="4"/>
  <c r="E400" i="4"/>
  <c r="H400" i="4"/>
  <c r="AJ30" i="12"/>
  <c r="AF30" i="12"/>
  <c r="AB30" i="12"/>
  <c r="AE30" i="12"/>
  <c r="AL30" i="12"/>
  <c r="AH30" i="12"/>
  <c r="AD30" i="12"/>
  <c r="AM30" i="12"/>
  <c r="AK30" i="12"/>
  <c r="B32" i="12"/>
  <c r="X28" i="5"/>
  <c r="BR28" i="5"/>
  <c r="C31" i="12"/>
  <c r="D31" i="12"/>
  <c r="F31" i="12"/>
  <c r="B401" i="4"/>
  <c r="E401" i="4"/>
  <c r="AP31" i="12"/>
  <c r="AZ31" i="12"/>
  <c r="AS31" i="12"/>
  <c r="AY31" i="12"/>
  <c r="H401" i="4"/>
  <c r="A31" i="12"/>
  <c r="AX31" i="12"/>
  <c r="BB31" i="12"/>
  <c r="E30" i="12"/>
  <c r="Z27" i="5"/>
  <c r="C400" i="4"/>
  <c r="D401" i="4"/>
  <c r="I401" i="4"/>
  <c r="AK31" i="12"/>
  <c r="AL31" i="12"/>
  <c r="AB31" i="12"/>
  <c r="AH31" i="12"/>
  <c r="AM31" i="12"/>
  <c r="AE31" i="12"/>
  <c r="AD31" i="12"/>
  <c r="AJ31" i="12"/>
  <c r="AF31" i="12"/>
  <c r="G401" i="4"/>
  <c r="F401" i="4"/>
  <c r="BA31" i="12"/>
  <c r="E31" i="12"/>
  <c r="BB32" i="12"/>
  <c r="AP32" i="12"/>
  <c r="AZ32" i="12"/>
  <c r="D32" i="12"/>
  <c r="AS32" i="12"/>
  <c r="AY32" i="12"/>
  <c r="B33" i="12"/>
  <c r="X29" i="5"/>
  <c r="BR29" i="5"/>
  <c r="AX32" i="12"/>
  <c r="F32" i="12"/>
  <c r="B402" i="4"/>
  <c r="E402" i="4"/>
  <c r="C32" i="12"/>
  <c r="A32" i="12"/>
  <c r="Z28" i="5"/>
  <c r="D402" i="4"/>
  <c r="C401" i="4"/>
  <c r="I402" i="4"/>
  <c r="G402" i="4"/>
  <c r="BA32" i="12"/>
  <c r="H402" i="4"/>
  <c r="F402" i="4"/>
  <c r="AJ32" i="12"/>
  <c r="AF32" i="12"/>
  <c r="AB32" i="12"/>
  <c r="AE32" i="12"/>
  <c r="AL32" i="12"/>
  <c r="AH32" i="12"/>
  <c r="AD32" i="12"/>
  <c r="AM32" i="12"/>
  <c r="AK32" i="12"/>
  <c r="B34" i="12"/>
  <c r="X30" i="5"/>
  <c r="BR30" i="5"/>
  <c r="C33" i="12"/>
  <c r="D33" i="12"/>
  <c r="F33" i="12"/>
  <c r="B403" i="4"/>
  <c r="D403" i="4"/>
  <c r="AP33" i="12"/>
  <c r="AZ33" i="12"/>
  <c r="AS33" i="12"/>
  <c r="AY33" i="12"/>
  <c r="A33" i="12"/>
  <c r="AX33" i="12"/>
  <c r="BB33" i="12"/>
  <c r="E32" i="12"/>
  <c r="Z29" i="5"/>
  <c r="C402" i="4"/>
  <c r="H403" i="4"/>
  <c r="I403" i="4"/>
  <c r="E403" i="4"/>
  <c r="AK33" i="12"/>
  <c r="AL33" i="12"/>
  <c r="AB33" i="12"/>
  <c r="AH33" i="12"/>
  <c r="AM33" i="12"/>
  <c r="AE33" i="12"/>
  <c r="AD33" i="12"/>
  <c r="AJ33" i="12"/>
  <c r="AF33" i="12"/>
  <c r="F403" i="4"/>
  <c r="G403" i="4"/>
  <c r="BA33" i="12"/>
  <c r="E33" i="12"/>
  <c r="BB34" i="12"/>
  <c r="AP34" i="12"/>
  <c r="AZ34" i="12"/>
  <c r="BA34" i="12"/>
  <c r="D34" i="12"/>
  <c r="AS34" i="12"/>
  <c r="AY34" i="12"/>
  <c r="B35" i="12"/>
  <c r="X31" i="5"/>
  <c r="Z31" i="5"/>
  <c r="AX34" i="12"/>
  <c r="F34" i="12"/>
  <c r="B404" i="4"/>
  <c r="I404" i="4"/>
  <c r="C34" i="12"/>
  <c r="A34" i="12"/>
  <c r="Z30" i="5"/>
  <c r="C403" i="4"/>
  <c r="G404" i="4"/>
  <c r="H404" i="4"/>
  <c r="E404" i="4"/>
  <c r="D404" i="4"/>
  <c r="F404" i="4"/>
  <c r="AJ34" i="12"/>
  <c r="AF34" i="12"/>
  <c r="AB34" i="12"/>
  <c r="AE34" i="12"/>
  <c r="AL34" i="12"/>
  <c r="AH34" i="12"/>
  <c r="AD34" i="12"/>
  <c r="AM34" i="12"/>
  <c r="AK34" i="12"/>
  <c r="BB35" i="12"/>
  <c r="AP35" i="12"/>
  <c r="AZ35" i="12"/>
  <c r="AS35" i="12"/>
  <c r="AY35" i="12"/>
  <c r="A35" i="12"/>
  <c r="F35" i="12"/>
  <c r="B405" i="4"/>
  <c r="G405" i="4"/>
  <c r="AX35" i="12"/>
  <c r="B36" i="12"/>
  <c r="X32" i="5"/>
  <c r="BR32" i="5"/>
  <c r="C35" i="12"/>
  <c r="D35" i="12"/>
  <c r="E34" i="12"/>
  <c r="BR31" i="5"/>
  <c r="C404" i="4"/>
  <c r="H405" i="4"/>
  <c r="E405" i="4"/>
  <c r="D405" i="4"/>
  <c r="I405" i="4"/>
  <c r="F405" i="4"/>
  <c r="AL35" i="12"/>
  <c r="AH35" i="12"/>
  <c r="AD35" i="12"/>
  <c r="AK35" i="12"/>
  <c r="AE35" i="12"/>
  <c r="AJ35" i="12"/>
  <c r="AF35" i="12"/>
  <c r="AB35" i="12"/>
  <c r="AM35" i="12"/>
  <c r="BA35" i="12"/>
  <c r="E35" i="12"/>
  <c r="AS36" i="12"/>
  <c r="AY36" i="12"/>
  <c r="A36" i="12"/>
  <c r="AX36" i="12"/>
  <c r="F36" i="12"/>
  <c r="B406" i="4"/>
  <c r="E406" i="4"/>
  <c r="B37" i="12"/>
  <c r="C36" i="12"/>
  <c r="BB36" i="12"/>
  <c r="AP36" i="12"/>
  <c r="AZ36" i="12"/>
  <c r="D36" i="12"/>
  <c r="X33" i="5"/>
  <c r="BR33" i="5"/>
  <c r="Z32" i="5"/>
  <c r="G406" i="4"/>
  <c r="C405" i="4"/>
  <c r="D406" i="4"/>
  <c r="I406" i="4"/>
  <c r="F406" i="4"/>
  <c r="H406" i="4"/>
  <c r="H409" i="4" s="1"/>
  <c r="Z33" i="5"/>
  <c r="E36" i="12"/>
  <c r="AX37" i="12"/>
  <c r="F37" i="12"/>
  <c r="B407" i="4"/>
  <c r="D407" i="4"/>
  <c r="B38" i="12"/>
  <c r="K42" i="12"/>
  <c r="A37" i="12"/>
  <c r="BB37" i="12"/>
  <c r="AP37" i="12"/>
  <c r="AZ37" i="12"/>
  <c r="D37" i="12"/>
  <c r="AS37" i="12"/>
  <c r="AY37" i="12"/>
  <c r="C37" i="12"/>
  <c r="BA36" i="12"/>
  <c r="AM36" i="12"/>
  <c r="AE36" i="12"/>
  <c r="AH36" i="12"/>
  <c r="AL36" i="12"/>
  <c r="AB36" i="12"/>
  <c r="AK36" i="12"/>
  <c r="AJ36" i="12"/>
  <c r="AF36" i="12"/>
  <c r="AD36" i="12"/>
  <c r="X34" i="5"/>
  <c r="Z34" i="5"/>
  <c r="C406" i="4"/>
  <c r="BA37" i="12"/>
  <c r="F407" i="4"/>
  <c r="G407" i="4"/>
  <c r="G409" i="4" s="1"/>
  <c r="I407" i="4"/>
  <c r="H407" i="4"/>
  <c r="E407" i="4"/>
  <c r="AL37" i="12"/>
  <c r="AH37" i="12"/>
  <c r="AD37" i="12"/>
  <c r="AK37" i="12"/>
  <c r="AE37" i="12"/>
  <c r="AJ37" i="12"/>
  <c r="AF37" i="12"/>
  <c r="AB37" i="12"/>
  <c r="AM37" i="12"/>
  <c r="E37" i="12"/>
  <c r="B8" i="13"/>
  <c r="C38" i="12"/>
  <c r="BB38" i="12"/>
  <c r="AP38" i="12"/>
  <c r="AZ38" i="12"/>
  <c r="D38" i="12"/>
  <c r="AS38" i="12"/>
  <c r="AY38" i="12"/>
  <c r="A38" i="12"/>
  <c r="AX38" i="12"/>
  <c r="F38" i="12"/>
  <c r="B408" i="4"/>
  <c r="E408" i="4"/>
  <c r="BR34" i="5"/>
  <c r="AA4" i="5"/>
  <c r="AC4" i="5"/>
  <c r="D408" i="4"/>
  <c r="C407" i="4"/>
  <c r="G408" i="4"/>
  <c r="H408" i="4"/>
  <c r="BA38" i="12"/>
  <c r="E38" i="12"/>
  <c r="E4" i="13"/>
  <c r="BB8" i="13"/>
  <c r="D8" i="13"/>
  <c r="AS8" i="13"/>
  <c r="AY8" i="13"/>
  <c r="A8" i="13"/>
  <c r="AP8" i="13"/>
  <c r="AZ8" i="13"/>
  <c r="F8" i="13"/>
  <c r="B430" i="4"/>
  <c r="I430" i="4"/>
  <c r="B9" i="13"/>
  <c r="C8" i="13"/>
  <c r="AX8" i="13"/>
  <c r="I408" i="4"/>
  <c r="F408" i="4"/>
  <c r="F409" i="4"/>
  <c r="AM38" i="12"/>
  <c r="AM40" i="12"/>
  <c r="AM41" i="12"/>
  <c r="AM39" i="13"/>
  <c r="AE38" i="12"/>
  <c r="AE40" i="12"/>
  <c r="AE41" i="12"/>
  <c r="AE39" i="13"/>
  <c r="AH38" i="12"/>
  <c r="AH40" i="12"/>
  <c r="AH41" i="12"/>
  <c r="AH39" i="13"/>
  <c r="AL38" i="12"/>
  <c r="AL40" i="12"/>
  <c r="AL41" i="12"/>
  <c r="AL39" i="13"/>
  <c r="AB38" i="12"/>
  <c r="AB40" i="12"/>
  <c r="AK38" i="12"/>
  <c r="AK40" i="12"/>
  <c r="AK41" i="12"/>
  <c r="AK39" i="13"/>
  <c r="AJ38" i="12"/>
  <c r="AJ40" i="12"/>
  <c r="AJ41" i="12"/>
  <c r="AJ39" i="13"/>
  <c r="AF38" i="12"/>
  <c r="AF40" i="12"/>
  <c r="AF41" i="12"/>
  <c r="AF39" i="13"/>
  <c r="AD38" i="12"/>
  <c r="AD40" i="12"/>
  <c r="AD41" i="12"/>
  <c r="AD39" i="13"/>
  <c r="AA5" i="5"/>
  <c r="BV5" i="5"/>
  <c r="E409" i="4"/>
  <c r="C408" i="4"/>
  <c r="BV4" i="5"/>
  <c r="D430" i="4"/>
  <c r="BA8" i="13"/>
  <c r="H430" i="4"/>
  <c r="E430" i="4"/>
  <c r="G430" i="4"/>
  <c r="AB41" i="12"/>
  <c r="K40" i="12"/>
  <c r="AS9" i="13"/>
  <c r="AY9" i="13"/>
  <c r="A9" i="13"/>
  <c r="AX9" i="13"/>
  <c r="F9" i="13"/>
  <c r="B431" i="4"/>
  <c r="B10" i="13"/>
  <c r="AA6" i="5"/>
  <c r="BV6" i="5"/>
  <c r="BB9" i="13"/>
  <c r="D9" i="13"/>
  <c r="C9" i="13"/>
  <c r="AP9" i="13"/>
  <c r="AZ9" i="13"/>
  <c r="F430" i="4"/>
  <c r="AL8" i="13"/>
  <c r="AH8" i="13"/>
  <c r="AD8" i="13"/>
  <c r="AM8" i="13"/>
  <c r="AE8" i="13"/>
  <c r="AF8" i="13"/>
  <c r="AK8" i="13"/>
  <c r="AJ8" i="13"/>
  <c r="AB8" i="13"/>
  <c r="E8" i="13"/>
  <c r="AC5" i="5"/>
  <c r="I431" i="4"/>
  <c r="D431" i="4"/>
  <c r="E431" i="4"/>
  <c r="G431" i="4"/>
  <c r="D424" i="4"/>
  <c r="C430" i="4"/>
  <c r="BA9" i="13"/>
  <c r="K41" i="12"/>
  <c r="AB39" i="13"/>
  <c r="K39" i="13"/>
  <c r="F431" i="4"/>
  <c r="H431" i="4"/>
  <c r="E9" i="13"/>
  <c r="BB10" i="13"/>
  <c r="AP10" i="13"/>
  <c r="AZ10" i="13"/>
  <c r="D10" i="13"/>
  <c r="C10" i="13"/>
  <c r="AX10" i="13"/>
  <c r="F10" i="13"/>
  <c r="B432" i="4"/>
  <c r="I432" i="4"/>
  <c r="B11" i="13"/>
  <c r="AA7" i="5"/>
  <c r="BV7" i="5"/>
  <c r="AS10" i="13"/>
  <c r="AY10" i="13"/>
  <c r="A10" i="13"/>
  <c r="AK9" i="13"/>
  <c r="AL9" i="13"/>
  <c r="AH9" i="13"/>
  <c r="AD9" i="13"/>
  <c r="AM9" i="13"/>
  <c r="AE9" i="13"/>
  <c r="AJ9" i="13"/>
  <c r="AF9" i="13"/>
  <c r="AB9" i="13"/>
  <c r="AC6" i="5"/>
  <c r="H432" i="4"/>
  <c r="C431" i="4"/>
  <c r="D432" i="4"/>
  <c r="BA10" i="13"/>
  <c r="F432" i="4"/>
  <c r="AJ10" i="13"/>
  <c r="AF10" i="13"/>
  <c r="AB10" i="13"/>
  <c r="AK10" i="13"/>
  <c r="AL10" i="13"/>
  <c r="AH10" i="13"/>
  <c r="AD10" i="13"/>
  <c r="AM10" i="13"/>
  <c r="AE10" i="13"/>
  <c r="E10" i="13"/>
  <c r="G432" i="4"/>
  <c r="E432" i="4"/>
  <c r="B12" i="13"/>
  <c r="AA8" i="5"/>
  <c r="BV8" i="5"/>
  <c r="C11" i="13"/>
  <c r="BB11" i="13"/>
  <c r="AP11" i="13"/>
  <c r="AZ11" i="13"/>
  <c r="D11" i="13"/>
  <c r="AS11" i="13"/>
  <c r="AY11" i="13"/>
  <c r="A11" i="13"/>
  <c r="AX11" i="13"/>
  <c r="F11" i="13"/>
  <c r="B433" i="4"/>
  <c r="D433" i="4"/>
  <c r="AC7" i="5"/>
  <c r="C432" i="4"/>
  <c r="G433" i="4"/>
  <c r="E433" i="4"/>
  <c r="I433" i="4"/>
  <c r="F433" i="4"/>
  <c r="H433" i="4"/>
  <c r="BA11" i="13"/>
  <c r="AM11" i="13"/>
  <c r="AE11" i="13"/>
  <c r="AJ11" i="13"/>
  <c r="AF11" i="13"/>
  <c r="AB11" i="13"/>
  <c r="AK11" i="13"/>
  <c r="AL11" i="13"/>
  <c r="AH11" i="13"/>
  <c r="AD11" i="13"/>
  <c r="E11" i="13"/>
  <c r="AX12" i="13"/>
  <c r="F12" i="13"/>
  <c r="B434" i="4"/>
  <c r="B13" i="13"/>
  <c r="C12" i="13"/>
  <c r="BB12" i="13"/>
  <c r="AP12" i="13"/>
  <c r="AZ12" i="13"/>
  <c r="D12" i="13"/>
  <c r="AS12" i="13"/>
  <c r="AY12" i="13"/>
  <c r="H434" i="4"/>
  <c r="A12" i="13"/>
  <c r="AC8" i="5"/>
  <c r="D434" i="4"/>
  <c r="E434" i="4"/>
  <c r="F434" i="4"/>
  <c r="G434" i="4"/>
  <c r="I434" i="4"/>
  <c r="C433" i="4"/>
  <c r="BA12" i="13"/>
  <c r="E12" i="13"/>
  <c r="AX13" i="13"/>
  <c r="C13" i="13"/>
  <c r="B14" i="13"/>
  <c r="F13" i="13"/>
  <c r="B435" i="4"/>
  <c r="D435" i="4"/>
  <c r="BB13" i="13"/>
  <c r="AP13" i="13"/>
  <c r="AZ13" i="13"/>
  <c r="A13" i="13"/>
  <c r="AS13" i="13"/>
  <c r="AY13" i="13"/>
  <c r="D13" i="13"/>
  <c r="AA9" i="5"/>
  <c r="AL12" i="13"/>
  <c r="AH12" i="13"/>
  <c r="AD12" i="13"/>
  <c r="AM12" i="13"/>
  <c r="AE12" i="13"/>
  <c r="AJ12" i="13"/>
  <c r="AF12" i="13"/>
  <c r="AB12" i="13"/>
  <c r="AK12" i="13"/>
  <c r="AA10" i="5"/>
  <c r="BV10" i="5"/>
  <c r="C434" i="4"/>
  <c r="I435" i="4"/>
  <c r="G435" i="4"/>
  <c r="E435" i="4"/>
  <c r="BA13" i="13"/>
  <c r="AJ13" i="13"/>
  <c r="AE13" i="13"/>
  <c r="AH13" i="13"/>
  <c r="AD13" i="13"/>
  <c r="AL13" i="13"/>
  <c r="AM13" i="13"/>
  <c r="AK13" i="13"/>
  <c r="AF13" i="13"/>
  <c r="AB13" i="13"/>
  <c r="H435" i="4"/>
  <c r="F435" i="4"/>
  <c r="AC9" i="5"/>
  <c r="BV9" i="5"/>
  <c r="E13" i="13"/>
  <c r="B15" i="13"/>
  <c r="AA11" i="5"/>
  <c r="AC11" i="5"/>
  <c r="C14" i="13"/>
  <c r="D14" i="13"/>
  <c r="AX14" i="13"/>
  <c r="F14" i="13"/>
  <c r="B436" i="4"/>
  <c r="E436" i="4"/>
  <c r="AS14" i="13"/>
  <c r="AY14" i="13"/>
  <c r="A14" i="13"/>
  <c r="BB14" i="13"/>
  <c r="AP14" i="13"/>
  <c r="AZ14" i="13"/>
  <c r="AC10" i="5"/>
  <c r="G436" i="4"/>
  <c r="C435" i="4"/>
  <c r="D436" i="4"/>
  <c r="I436" i="4"/>
  <c r="H436" i="4"/>
  <c r="F436" i="4"/>
  <c r="AK14" i="13"/>
  <c r="AL14" i="13"/>
  <c r="AB14" i="13"/>
  <c r="AH14" i="13"/>
  <c r="AM14" i="13"/>
  <c r="AE14" i="13"/>
  <c r="AD14" i="13"/>
  <c r="AJ14" i="13"/>
  <c r="AF14" i="13"/>
  <c r="BA14" i="13"/>
  <c r="E14" i="13"/>
  <c r="BB15" i="13"/>
  <c r="AP15" i="13"/>
  <c r="AZ15" i="13"/>
  <c r="D15" i="13"/>
  <c r="B16" i="13"/>
  <c r="A15" i="13"/>
  <c r="AX15" i="13"/>
  <c r="F15" i="13"/>
  <c r="B437" i="4"/>
  <c r="E437" i="4"/>
  <c r="C15" i="13"/>
  <c r="AS15" i="13"/>
  <c r="AY15" i="13"/>
  <c r="BV11" i="5"/>
  <c r="F437" i="4"/>
  <c r="H437" i="4"/>
  <c r="C436" i="4"/>
  <c r="D437" i="4"/>
  <c r="BA15" i="13"/>
  <c r="I437" i="4"/>
  <c r="G437" i="4"/>
  <c r="AL15" i="13"/>
  <c r="AH15" i="13"/>
  <c r="AD15" i="13"/>
  <c r="AM15" i="13"/>
  <c r="AK15" i="13"/>
  <c r="AJ15" i="13"/>
  <c r="AF15" i="13"/>
  <c r="AB15" i="13"/>
  <c r="AE15" i="13"/>
  <c r="AS16" i="13"/>
  <c r="AY16" i="13"/>
  <c r="A16" i="13"/>
  <c r="BB16" i="13"/>
  <c r="AP16" i="13"/>
  <c r="AZ16" i="13"/>
  <c r="B17" i="13"/>
  <c r="AA13" i="5"/>
  <c r="AC13" i="5"/>
  <c r="C16" i="13"/>
  <c r="D16" i="13"/>
  <c r="AX16" i="13"/>
  <c r="F16" i="13"/>
  <c r="B438" i="4"/>
  <c r="E438" i="4"/>
  <c r="AA12" i="5"/>
  <c r="BV12" i="5"/>
  <c r="E15" i="13"/>
  <c r="AC12" i="5"/>
  <c r="H438" i="4"/>
  <c r="C437" i="4"/>
  <c r="D438" i="4"/>
  <c r="F438" i="4"/>
  <c r="E16" i="13"/>
  <c r="BB17" i="13"/>
  <c r="AP17" i="13"/>
  <c r="AZ17" i="13"/>
  <c r="D17" i="13"/>
  <c r="B18" i="13"/>
  <c r="A17" i="13"/>
  <c r="AX17" i="13"/>
  <c r="F17" i="13"/>
  <c r="B439" i="4"/>
  <c r="C17" i="13"/>
  <c r="AS17" i="13"/>
  <c r="AY17" i="13"/>
  <c r="I438" i="4"/>
  <c r="G438" i="4"/>
  <c r="BA16" i="13"/>
  <c r="AK16" i="13"/>
  <c r="AL16" i="13"/>
  <c r="AB16" i="13"/>
  <c r="AH16" i="13"/>
  <c r="AM16" i="13"/>
  <c r="AE16" i="13"/>
  <c r="AD16" i="13"/>
  <c r="AJ16" i="13"/>
  <c r="AF16" i="13"/>
  <c r="BV13" i="5"/>
  <c r="AA14" i="5"/>
  <c r="BV14" i="5"/>
  <c r="G439" i="4"/>
  <c r="I439" i="4"/>
  <c r="D439" i="4"/>
  <c r="C438" i="4"/>
  <c r="H439" i="4"/>
  <c r="E439" i="4"/>
  <c r="F439" i="4"/>
  <c r="AL17" i="13"/>
  <c r="AH17" i="13"/>
  <c r="AD17" i="13"/>
  <c r="AM17" i="13"/>
  <c r="AK17" i="13"/>
  <c r="AJ17" i="13"/>
  <c r="AF17" i="13"/>
  <c r="AB17" i="13"/>
  <c r="AE17" i="13"/>
  <c r="B19" i="13"/>
  <c r="C18" i="13"/>
  <c r="D18" i="13"/>
  <c r="AX18" i="13"/>
  <c r="F18" i="13"/>
  <c r="B440" i="4"/>
  <c r="AS18" i="13"/>
  <c r="AY18" i="13"/>
  <c r="A18" i="13"/>
  <c r="BB18" i="13"/>
  <c r="AP18" i="13"/>
  <c r="AZ18" i="13"/>
  <c r="BA17" i="13"/>
  <c r="E17" i="13"/>
  <c r="AC14" i="5"/>
  <c r="G440" i="4"/>
  <c r="I440" i="4"/>
  <c r="D440" i="4"/>
  <c r="C439" i="4"/>
  <c r="BA18" i="13"/>
  <c r="H440" i="4"/>
  <c r="E18" i="13"/>
  <c r="AX19" i="13"/>
  <c r="F19" i="13"/>
  <c r="B441" i="4"/>
  <c r="G441" i="4"/>
  <c r="C19" i="13"/>
  <c r="AS19" i="13"/>
  <c r="AY19" i="13"/>
  <c r="BB19" i="13"/>
  <c r="AP19" i="13"/>
  <c r="AZ19" i="13"/>
  <c r="D19" i="13"/>
  <c r="B20" i="13"/>
  <c r="AA16" i="5"/>
  <c r="BV16" i="5"/>
  <c r="A19" i="13"/>
  <c r="E440" i="4"/>
  <c r="F440" i="4"/>
  <c r="AA15" i="5"/>
  <c r="BV15" i="5"/>
  <c r="AM18" i="13"/>
  <c r="AE18" i="13"/>
  <c r="AD18" i="13"/>
  <c r="AJ18" i="13"/>
  <c r="AF18" i="13"/>
  <c r="AK18" i="13"/>
  <c r="AL18" i="13"/>
  <c r="AB18" i="13"/>
  <c r="AH18" i="13"/>
  <c r="C440" i="4"/>
  <c r="E441" i="4"/>
  <c r="I441" i="4"/>
  <c r="BA19" i="13"/>
  <c r="AC15" i="5"/>
  <c r="H441" i="4"/>
  <c r="AS20" i="13"/>
  <c r="AY20" i="13"/>
  <c r="A20" i="13"/>
  <c r="BB20" i="13"/>
  <c r="AP20" i="13"/>
  <c r="AZ20" i="13"/>
  <c r="B21" i="13"/>
  <c r="AA17" i="5"/>
  <c r="BV17" i="5"/>
  <c r="C20" i="13"/>
  <c r="D20" i="13"/>
  <c r="AX20" i="13"/>
  <c r="F20" i="13"/>
  <c r="B442" i="4"/>
  <c r="D442" i="4"/>
  <c r="F441" i="4"/>
  <c r="D441" i="4"/>
  <c r="E19" i="13"/>
  <c r="AL19" i="13"/>
  <c r="AH19" i="13"/>
  <c r="AD19" i="13"/>
  <c r="AM19" i="13"/>
  <c r="AK19" i="13"/>
  <c r="AJ19" i="13"/>
  <c r="AF19" i="13"/>
  <c r="AB19" i="13"/>
  <c r="AE19" i="13"/>
  <c r="AC16" i="5"/>
  <c r="I442" i="4"/>
  <c r="C441" i="4"/>
  <c r="F442" i="4"/>
  <c r="BA20" i="13"/>
  <c r="E442" i="4"/>
  <c r="G442" i="4"/>
  <c r="H442" i="4"/>
  <c r="AM20" i="13"/>
  <c r="AE20" i="13"/>
  <c r="AD20" i="13"/>
  <c r="AJ20" i="13"/>
  <c r="AF20" i="13"/>
  <c r="AK20" i="13"/>
  <c r="AL20" i="13"/>
  <c r="AB20" i="13"/>
  <c r="AH20" i="13"/>
  <c r="E20" i="13"/>
  <c r="AX21" i="13"/>
  <c r="F21" i="13"/>
  <c r="B443" i="4"/>
  <c r="D443" i="4"/>
  <c r="C21" i="13"/>
  <c r="AS21" i="13"/>
  <c r="AY21" i="13"/>
  <c r="BB21" i="13"/>
  <c r="AP21" i="13"/>
  <c r="AZ21" i="13"/>
  <c r="D21" i="13"/>
  <c r="B22" i="13"/>
  <c r="AA18" i="5"/>
  <c r="BV18" i="5"/>
  <c r="A21" i="13"/>
  <c r="AC17" i="5"/>
  <c r="C442" i="4"/>
  <c r="G443" i="4"/>
  <c r="E443" i="4"/>
  <c r="H443" i="4"/>
  <c r="I443" i="4"/>
  <c r="F443" i="4"/>
  <c r="E21" i="13"/>
  <c r="AL21" i="13"/>
  <c r="AH21" i="13"/>
  <c r="AD21" i="13"/>
  <c r="AM21" i="13"/>
  <c r="AK21" i="13"/>
  <c r="AJ21" i="13"/>
  <c r="AF21" i="13"/>
  <c r="AB21" i="13"/>
  <c r="AE21" i="13"/>
  <c r="AS22" i="13"/>
  <c r="AY22" i="13"/>
  <c r="A22" i="13"/>
  <c r="BB22" i="13"/>
  <c r="AP22" i="13"/>
  <c r="AZ22" i="13"/>
  <c r="B23" i="13"/>
  <c r="C22" i="13"/>
  <c r="D22" i="13"/>
  <c r="AX22" i="13"/>
  <c r="F22" i="13"/>
  <c r="B444" i="4"/>
  <c r="E444" i="4"/>
  <c r="BA21" i="13"/>
  <c r="AC18" i="5"/>
  <c r="C443" i="4"/>
  <c r="D444" i="4"/>
  <c r="H444" i="4"/>
  <c r="F444" i="4"/>
  <c r="E22" i="13"/>
  <c r="AX23" i="13"/>
  <c r="F23" i="13"/>
  <c r="B445" i="4"/>
  <c r="D445" i="4"/>
  <c r="C23" i="13"/>
  <c r="AS23" i="13"/>
  <c r="AY23" i="13"/>
  <c r="BB23" i="13"/>
  <c r="AP23" i="13"/>
  <c r="AZ23" i="13"/>
  <c r="D23" i="13"/>
  <c r="B24" i="13"/>
  <c r="AA20" i="5"/>
  <c r="BV20" i="5"/>
  <c r="A23" i="13"/>
  <c r="I444" i="4"/>
  <c r="G444" i="4"/>
  <c r="AA19" i="5"/>
  <c r="BV19" i="5"/>
  <c r="BA22" i="13"/>
  <c r="AM22" i="13"/>
  <c r="AE22" i="13"/>
  <c r="AD22" i="13"/>
  <c r="AJ22" i="13"/>
  <c r="AF22" i="13"/>
  <c r="AK22" i="13"/>
  <c r="AL22" i="13"/>
  <c r="AB22" i="13"/>
  <c r="AH22" i="13"/>
  <c r="E445" i="4"/>
  <c r="H445" i="4"/>
  <c r="C444" i="4"/>
  <c r="BA23" i="13"/>
  <c r="G445" i="4"/>
  <c r="AC19" i="5"/>
  <c r="AS24" i="13"/>
  <c r="AY24" i="13"/>
  <c r="A24" i="13"/>
  <c r="BB24" i="13"/>
  <c r="AP24" i="13"/>
  <c r="AZ24" i="13"/>
  <c r="B25" i="13"/>
  <c r="C24" i="13"/>
  <c r="D24" i="13"/>
  <c r="AX24" i="13"/>
  <c r="F24" i="13"/>
  <c r="B446" i="4"/>
  <c r="E446" i="4"/>
  <c r="I445" i="4"/>
  <c r="F445" i="4"/>
  <c r="E23" i="13"/>
  <c r="AL23" i="13"/>
  <c r="AH23" i="13"/>
  <c r="AD23" i="13"/>
  <c r="AM23" i="13"/>
  <c r="AK23" i="13"/>
  <c r="AJ23" i="13"/>
  <c r="AF23" i="13"/>
  <c r="AB23" i="13"/>
  <c r="AE23" i="13"/>
  <c r="AC20" i="5"/>
  <c r="AA21" i="5"/>
  <c r="BV21" i="5"/>
  <c r="H446" i="4"/>
  <c r="C445" i="4"/>
  <c r="I446" i="4"/>
  <c r="F446" i="4"/>
  <c r="D446" i="4"/>
  <c r="G446" i="4"/>
  <c r="BA24" i="13"/>
  <c r="AK24" i="13"/>
  <c r="AL24" i="13"/>
  <c r="AB24" i="13"/>
  <c r="AH24" i="13"/>
  <c r="AM24" i="13"/>
  <c r="AE24" i="13"/>
  <c r="AD24" i="13"/>
  <c r="AJ24" i="13"/>
  <c r="AF24" i="13"/>
  <c r="E24" i="13"/>
  <c r="BB25" i="13"/>
  <c r="AP25" i="13"/>
  <c r="AZ25" i="13"/>
  <c r="D25" i="13"/>
  <c r="B26" i="13"/>
  <c r="AA22" i="5"/>
  <c r="BV22" i="5"/>
  <c r="A25" i="13"/>
  <c r="AX25" i="13"/>
  <c r="F25" i="13"/>
  <c r="B447" i="4"/>
  <c r="G447" i="4"/>
  <c r="C25" i="13"/>
  <c r="AS25" i="13"/>
  <c r="AY25" i="13"/>
  <c r="AC21" i="5"/>
  <c r="C446" i="4"/>
  <c r="D447" i="4"/>
  <c r="F447" i="4"/>
  <c r="I447" i="4"/>
  <c r="E25" i="13"/>
  <c r="E447" i="4"/>
  <c r="H447" i="4"/>
  <c r="AL25" i="13"/>
  <c r="AH25" i="13"/>
  <c r="AD25" i="13"/>
  <c r="AM25" i="13"/>
  <c r="AK25" i="13"/>
  <c r="AJ25" i="13"/>
  <c r="AF25" i="13"/>
  <c r="AB25" i="13"/>
  <c r="AE25" i="13"/>
  <c r="AS26" i="13"/>
  <c r="AY26" i="13"/>
  <c r="A26" i="13"/>
  <c r="BB26" i="13"/>
  <c r="AP26" i="13"/>
  <c r="AZ26" i="13"/>
  <c r="B27" i="13"/>
  <c r="C26" i="13"/>
  <c r="D26" i="13"/>
  <c r="AX26" i="13"/>
  <c r="F26" i="13"/>
  <c r="B448" i="4"/>
  <c r="H448" i="4"/>
  <c r="BA25" i="13"/>
  <c r="AC22" i="5"/>
  <c r="C447" i="4"/>
  <c r="G448" i="4"/>
  <c r="D448" i="4"/>
  <c r="I448" i="4"/>
  <c r="E26" i="13"/>
  <c r="BB27" i="13"/>
  <c r="AP27" i="13"/>
  <c r="AZ27" i="13"/>
  <c r="D27" i="13"/>
  <c r="B28" i="13"/>
  <c r="A27" i="13"/>
  <c r="AX27" i="13"/>
  <c r="F27" i="13"/>
  <c r="B449" i="4"/>
  <c r="C27" i="13"/>
  <c r="AS27" i="13"/>
  <c r="AY27" i="13"/>
  <c r="E448" i="4"/>
  <c r="F448" i="4"/>
  <c r="AA23" i="5"/>
  <c r="AC23" i="5"/>
  <c r="BA26" i="13"/>
  <c r="AK26" i="13"/>
  <c r="AL26" i="13"/>
  <c r="AB26" i="13"/>
  <c r="AH26" i="13"/>
  <c r="AM26" i="13"/>
  <c r="AE26" i="13"/>
  <c r="AD26" i="13"/>
  <c r="AJ26" i="13"/>
  <c r="AF26" i="13"/>
  <c r="BV23" i="5"/>
  <c r="H449" i="4"/>
  <c r="I449" i="4"/>
  <c r="G449" i="4"/>
  <c r="D449" i="4"/>
  <c r="F449" i="4"/>
  <c r="E449" i="4"/>
  <c r="C448" i="4"/>
  <c r="BA27" i="13"/>
  <c r="AL27" i="13"/>
  <c r="AH27" i="13"/>
  <c r="AD27" i="13"/>
  <c r="AM27" i="13"/>
  <c r="AK27" i="13"/>
  <c r="AJ27" i="13"/>
  <c r="AF27" i="13"/>
  <c r="AB27" i="13"/>
  <c r="AE27" i="13"/>
  <c r="AX28" i="13"/>
  <c r="C28" i="13"/>
  <c r="AS28" i="13"/>
  <c r="AY28" i="13"/>
  <c r="B29" i="13"/>
  <c r="AA25" i="5"/>
  <c r="BV25" i="5"/>
  <c r="BB28" i="13"/>
  <c r="AP28" i="13"/>
  <c r="AZ28" i="13"/>
  <c r="A28" i="13"/>
  <c r="D28" i="13"/>
  <c r="F28" i="13"/>
  <c r="B450" i="4"/>
  <c r="D450" i="4"/>
  <c r="AA24" i="5"/>
  <c r="BV24" i="5"/>
  <c r="E27" i="13"/>
  <c r="H450" i="4"/>
  <c r="C449" i="4"/>
  <c r="BA28" i="13"/>
  <c r="G450" i="4"/>
  <c r="I450" i="4"/>
  <c r="F450" i="4"/>
  <c r="E450" i="4"/>
  <c r="AC24" i="5"/>
  <c r="E28" i="13"/>
  <c r="B30" i="13"/>
  <c r="AA26" i="5"/>
  <c r="BV26" i="5"/>
  <c r="C29" i="13"/>
  <c r="D29" i="13"/>
  <c r="F29" i="13"/>
  <c r="B451" i="4"/>
  <c r="E451" i="4"/>
  <c r="AP29" i="13"/>
  <c r="AZ29" i="13"/>
  <c r="AS29" i="13"/>
  <c r="AY29" i="13"/>
  <c r="A29" i="13"/>
  <c r="AX29" i="13"/>
  <c r="BB29" i="13"/>
  <c r="AJ28" i="13"/>
  <c r="AF28" i="13"/>
  <c r="AB28" i="13"/>
  <c r="AE28" i="13"/>
  <c r="AL28" i="13"/>
  <c r="AH28" i="13"/>
  <c r="AD28" i="13"/>
  <c r="AM28" i="13"/>
  <c r="AK28" i="13"/>
  <c r="AC25" i="5"/>
  <c r="I451" i="4"/>
  <c r="C450" i="4"/>
  <c r="F451" i="4"/>
  <c r="D451" i="4"/>
  <c r="BA29" i="13"/>
  <c r="AM29" i="13"/>
  <c r="AE29" i="13"/>
  <c r="AD29" i="13"/>
  <c r="AJ29" i="13"/>
  <c r="AF29" i="13"/>
  <c r="AK29" i="13"/>
  <c r="AL29" i="13"/>
  <c r="AB29" i="13"/>
  <c r="AH29" i="13"/>
  <c r="G451" i="4"/>
  <c r="H451" i="4"/>
  <c r="E29" i="13"/>
  <c r="AX30" i="13"/>
  <c r="F30" i="13"/>
  <c r="B452" i="4"/>
  <c r="E452" i="4"/>
  <c r="C30" i="13"/>
  <c r="A30" i="13"/>
  <c r="BB30" i="13"/>
  <c r="AP30" i="13"/>
  <c r="AZ30" i="13"/>
  <c r="D30" i="13"/>
  <c r="AS30" i="13"/>
  <c r="AY30" i="13"/>
  <c r="B31" i="13"/>
  <c r="AC26" i="5"/>
  <c r="G452" i="4"/>
  <c r="C451" i="4"/>
  <c r="F452" i="4"/>
  <c r="D452" i="4"/>
  <c r="H452" i="4"/>
  <c r="I452" i="4"/>
  <c r="BA30" i="13"/>
  <c r="AS31" i="13"/>
  <c r="AY31" i="13"/>
  <c r="A31" i="13"/>
  <c r="AX31" i="13"/>
  <c r="BB31" i="13"/>
  <c r="B32" i="13"/>
  <c r="C31" i="13"/>
  <c r="D31" i="13"/>
  <c r="F31" i="13"/>
  <c r="B453" i="4"/>
  <c r="D453" i="4"/>
  <c r="AP31" i="13"/>
  <c r="AZ31" i="13"/>
  <c r="BA31" i="13"/>
  <c r="E30" i="13"/>
  <c r="AL30" i="13"/>
  <c r="AH30" i="13"/>
  <c r="AD30" i="13"/>
  <c r="AM30" i="13"/>
  <c r="AK30" i="13"/>
  <c r="AJ30" i="13"/>
  <c r="AF30" i="13"/>
  <c r="AB30" i="13"/>
  <c r="AE30" i="13"/>
  <c r="AA27" i="5"/>
  <c r="BV27" i="5"/>
  <c r="AA28" i="5"/>
  <c r="BV28" i="5"/>
  <c r="H453" i="4"/>
  <c r="C452" i="4"/>
  <c r="E453" i="4"/>
  <c r="AC27" i="5"/>
  <c r="G453" i="4"/>
  <c r="AM31" i="13"/>
  <c r="AE31" i="13"/>
  <c r="AD31" i="13"/>
  <c r="AJ31" i="13"/>
  <c r="AF31" i="13"/>
  <c r="AK31" i="13"/>
  <c r="AL31" i="13"/>
  <c r="AB31" i="13"/>
  <c r="AH31" i="13"/>
  <c r="I453" i="4"/>
  <c r="F453" i="4"/>
  <c r="E31" i="13"/>
  <c r="AX32" i="13"/>
  <c r="F32" i="13"/>
  <c r="B454" i="4"/>
  <c r="G454" i="4"/>
  <c r="C32" i="13"/>
  <c r="A32" i="13"/>
  <c r="BB32" i="13"/>
  <c r="AP32" i="13"/>
  <c r="AZ32" i="13"/>
  <c r="D32" i="13"/>
  <c r="AS32" i="13"/>
  <c r="AY32" i="13"/>
  <c r="B33" i="13"/>
  <c r="AC28" i="5"/>
  <c r="E454" i="4"/>
  <c r="I454" i="4"/>
  <c r="C453" i="4"/>
  <c r="H454" i="4"/>
  <c r="D454" i="4"/>
  <c r="BA32" i="13"/>
  <c r="AS33" i="13"/>
  <c r="AY33" i="13"/>
  <c r="A33" i="13"/>
  <c r="AX33" i="13"/>
  <c r="BB33" i="13"/>
  <c r="B34" i="13"/>
  <c r="C33" i="13"/>
  <c r="D33" i="13"/>
  <c r="F33" i="13"/>
  <c r="B455" i="4"/>
  <c r="G455" i="4"/>
  <c r="AP33" i="13"/>
  <c r="AZ33" i="13"/>
  <c r="BA33" i="13"/>
  <c r="E32" i="13"/>
  <c r="AL32" i="13"/>
  <c r="AH32" i="13"/>
  <c r="AD32" i="13"/>
  <c r="AM32" i="13"/>
  <c r="AK32" i="13"/>
  <c r="AJ32" i="13"/>
  <c r="AF32" i="13"/>
  <c r="AB32" i="13"/>
  <c r="AE32" i="13"/>
  <c r="F454" i="4"/>
  <c r="AA29" i="5"/>
  <c r="BV29" i="5"/>
  <c r="AA30" i="5"/>
  <c r="BV30" i="5"/>
  <c r="C454" i="4"/>
  <c r="F455" i="4"/>
  <c r="AC29" i="5"/>
  <c r="E455" i="4"/>
  <c r="H455" i="4"/>
  <c r="AM33" i="13"/>
  <c r="AE33" i="13"/>
  <c r="AD33" i="13"/>
  <c r="AJ33" i="13"/>
  <c r="AF33" i="13"/>
  <c r="AK33" i="13"/>
  <c r="AL33" i="13"/>
  <c r="AB33" i="13"/>
  <c r="AH33" i="13"/>
  <c r="D455" i="4"/>
  <c r="I455" i="4"/>
  <c r="E33" i="13"/>
  <c r="AX34" i="13"/>
  <c r="F34" i="13"/>
  <c r="B456" i="4"/>
  <c r="G456" i="4"/>
  <c r="C34" i="13"/>
  <c r="A34" i="13"/>
  <c r="BB34" i="13"/>
  <c r="AP34" i="13"/>
  <c r="AZ34" i="13"/>
  <c r="D34" i="13"/>
  <c r="AS34" i="13"/>
  <c r="AY34" i="13"/>
  <c r="B35" i="13"/>
  <c r="AC30" i="5"/>
  <c r="AA31" i="5"/>
  <c r="BV31" i="5"/>
  <c r="F456" i="4"/>
  <c r="C455" i="4"/>
  <c r="BA34" i="13"/>
  <c r="E456" i="4"/>
  <c r="H456" i="4"/>
  <c r="D456" i="4"/>
  <c r="I456" i="4"/>
  <c r="AX35" i="13"/>
  <c r="B36" i="13"/>
  <c r="AA32" i="5"/>
  <c r="BV32" i="5"/>
  <c r="C35" i="13"/>
  <c r="D35" i="13"/>
  <c r="BB35" i="13"/>
  <c r="AP35" i="13"/>
  <c r="AZ35" i="13"/>
  <c r="AS35" i="13"/>
  <c r="AY35" i="13"/>
  <c r="A35" i="13"/>
  <c r="F35" i="13"/>
  <c r="B457" i="4"/>
  <c r="I457" i="4"/>
  <c r="E34" i="13"/>
  <c r="AL34" i="13"/>
  <c r="AH34" i="13"/>
  <c r="AD34" i="13"/>
  <c r="AM34" i="13"/>
  <c r="AK34" i="13"/>
  <c r="AJ34" i="13"/>
  <c r="AF34" i="13"/>
  <c r="AB34" i="13"/>
  <c r="AE34" i="13"/>
  <c r="AC31" i="5"/>
  <c r="F457" i="4"/>
  <c r="C456" i="4"/>
  <c r="D457" i="4"/>
  <c r="H457" i="4"/>
  <c r="E457" i="4"/>
  <c r="G457" i="4"/>
  <c r="BA35" i="13"/>
  <c r="E35" i="13"/>
  <c r="B37" i="13"/>
  <c r="K42" i="13"/>
  <c r="C36" i="13"/>
  <c r="BB36" i="13"/>
  <c r="AP36" i="13"/>
  <c r="AZ36" i="13"/>
  <c r="D36" i="13"/>
  <c r="AS36" i="13"/>
  <c r="AY36" i="13"/>
  <c r="A36" i="13"/>
  <c r="AX36" i="13"/>
  <c r="F36" i="13"/>
  <c r="B458" i="4"/>
  <c r="I458" i="4"/>
  <c r="AJ35" i="13"/>
  <c r="AF35" i="13"/>
  <c r="AB35" i="13"/>
  <c r="AM35" i="13"/>
  <c r="AL35" i="13"/>
  <c r="AH35" i="13"/>
  <c r="AD35" i="13"/>
  <c r="AK35" i="13"/>
  <c r="AE35" i="13"/>
  <c r="AC32" i="5"/>
  <c r="C457" i="4"/>
  <c r="G458" i="4"/>
  <c r="AA33" i="5"/>
  <c r="BV33" i="5"/>
  <c r="D458" i="4"/>
  <c r="E458" i="4"/>
  <c r="F458" i="4"/>
  <c r="H458" i="4"/>
  <c r="H461" i="4" s="1"/>
  <c r="BA36" i="13"/>
  <c r="AM36" i="13"/>
  <c r="AE36" i="13"/>
  <c r="AH36" i="13"/>
  <c r="AL36" i="13"/>
  <c r="AB36" i="13"/>
  <c r="AK36" i="13"/>
  <c r="AJ36" i="13"/>
  <c r="AF36" i="13"/>
  <c r="AD36" i="13"/>
  <c r="E36" i="13"/>
  <c r="B8" i="14"/>
  <c r="AX37" i="13"/>
  <c r="F37" i="13"/>
  <c r="B459" i="4"/>
  <c r="E459" i="4"/>
  <c r="E461" i="4" s="1"/>
  <c r="AS37" i="13"/>
  <c r="AY37" i="13"/>
  <c r="C37" i="13"/>
  <c r="BB37" i="13"/>
  <c r="AP37" i="13"/>
  <c r="AZ37" i="13"/>
  <c r="D37" i="13"/>
  <c r="A37" i="13"/>
  <c r="AC33" i="5"/>
  <c r="C458" i="4"/>
  <c r="I459" i="4"/>
  <c r="H459" i="4"/>
  <c r="D459" i="4"/>
  <c r="BA37" i="13"/>
  <c r="AL37" i="13"/>
  <c r="AL40" i="13"/>
  <c r="AL41" i="13"/>
  <c r="AL39" i="14"/>
  <c r="AH37" i="13"/>
  <c r="AH40" i="13"/>
  <c r="AH41" i="13"/>
  <c r="AH39" i="14"/>
  <c r="AD37" i="13"/>
  <c r="AD40" i="13"/>
  <c r="AD41" i="13"/>
  <c r="AD39" i="14"/>
  <c r="AK37" i="13"/>
  <c r="AK40" i="13"/>
  <c r="AK41" i="13"/>
  <c r="AK39" i="14"/>
  <c r="AE37" i="13"/>
  <c r="AE40" i="13"/>
  <c r="AE41" i="13"/>
  <c r="AE39" i="14"/>
  <c r="AJ37" i="13"/>
  <c r="AJ40" i="13"/>
  <c r="AJ41" i="13"/>
  <c r="AJ39" i="14"/>
  <c r="AF37" i="13"/>
  <c r="AF40" i="13"/>
  <c r="AF41" i="13"/>
  <c r="AF39" i="14"/>
  <c r="AB37" i="13"/>
  <c r="AB40" i="13"/>
  <c r="AM37" i="13"/>
  <c r="AM40" i="13"/>
  <c r="AM41" i="13"/>
  <c r="AM39" i="14"/>
  <c r="E4" i="14"/>
  <c r="BB8" i="14"/>
  <c r="D8" i="14"/>
  <c r="AS8" i="14"/>
  <c r="AY8" i="14"/>
  <c r="A8" i="14"/>
  <c r="AP8" i="14"/>
  <c r="AZ8" i="14"/>
  <c r="F8" i="14"/>
  <c r="B482" i="4"/>
  <c r="B9" i="14"/>
  <c r="AD5" i="5"/>
  <c r="BZ5" i="5"/>
  <c r="C8" i="14"/>
  <c r="AX8" i="14"/>
  <c r="G459" i="4"/>
  <c r="G461" i="4"/>
  <c r="F459" i="4"/>
  <c r="F461" i="4"/>
  <c r="AD4" i="5"/>
  <c r="AF4" i="5"/>
  <c r="E37" i="13"/>
  <c r="E482" i="4"/>
  <c r="C459" i="4"/>
  <c r="BZ4" i="5"/>
  <c r="BA8" i="14"/>
  <c r="F482" i="4"/>
  <c r="I482" i="4"/>
  <c r="G482" i="4"/>
  <c r="AL8" i="14"/>
  <c r="AH8" i="14"/>
  <c r="AD8" i="14"/>
  <c r="AM8" i="14"/>
  <c r="AE8" i="14"/>
  <c r="AF8" i="14"/>
  <c r="AK8" i="14"/>
  <c r="AJ8" i="14"/>
  <c r="AB8" i="14"/>
  <c r="E8" i="14"/>
  <c r="K40" i="13"/>
  <c r="AB41" i="13"/>
  <c r="H482" i="4"/>
  <c r="D482" i="4"/>
  <c r="AS9" i="14"/>
  <c r="AY9" i="14"/>
  <c r="A9" i="14"/>
  <c r="AX9" i="14"/>
  <c r="F9" i="14"/>
  <c r="B483" i="4"/>
  <c r="I483" i="4"/>
  <c r="B10" i="14"/>
  <c r="BB9" i="14"/>
  <c r="D9" i="14"/>
  <c r="C9" i="14"/>
  <c r="AP9" i="14"/>
  <c r="AZ9" i="14"/>
  <c r="BA9" i="14"/>
  <c r="AF5" i="5"/>
  <c r="F483" i="4"/>
  <c r="E483" i="4"/>
  <c r="D476" i="4"/>
  <c r="C482" i="4"/>
  <c r="D483" i="4"/>
  <c r="G483" i="4"/>
  <c r="H483" i="4"/>
  <c r="K41" i="13"/>
  <c r="AB39" i="14"/>
  <c r="K39" i="14"/>
  <c r="E9" i="14"/>
  <c r="AX10" i="14"/>
  <c r="F10" i="14"/>
  <c r="B484" i="4"/>
  <c r="D484" i="4"/>
  <c r="B11" i="14"/>
  <c r="AS10" i="14"/>
  <c r="AY10" i="14"/>
  <c r="A10" i="14"/>
  <c r="BB10" i="14"/>
  <c r="AP10" i="14"/>
  <c r="AZ10" i="14"/>
  <c r="D10" i="14"/>
  <c r="C10" i="14"/>
  <c r="AD6" i="5"/>
  <c r="BZ6" i="5"/>
  <c r="AM9" i="14"/>
  <c r="AE9" i="14"/>
  <c r="AJ9" i="14"/>
  <c r="AF9" i="14"/>
  <c r="AB9" i="14"/>
  <c r="AK9" i="14"/>
  <c r="AL9" i="14"/>
  <c r="AH9" i="14"/>
  <c r="AD9" i="14"/>
  <c r="AD7" i="5"/>
  <c r="BZ7" i="5"/>
  <c r="I484" i="4"/>
  <c r="G484" i="4"/>
  <c r="E484" i="4"/>
  <c r="C483" i="4"/>
  <c r="BA10" i="14"/>
  <c r="AF6" i="5"/>
  <c r="H484" i="4"/>
  <c r="F484" i="4"/>
  <c r="B12" i="14"/>
  <c r="C11" i="14"/>
  <c r="BB11" i="14"/>
  <c r="AP11" i="14"/>
  <c r="AZ11" i="14"/>
  <c r="D11" i="14"/>
  <c r="AS11" i="14"/>
  <c r="AY11" i="14"/>
  <c r="H485" i="4"/>
  <c r="A11" i="14"/>
  <c r="AX11" i="14"/>
  <c r="F11" i="14"/>
  <c r="B485" i="4"/>
  <c r="E485" i="4"/>
  <c r="AJ10" i="14"/>
  <c r="AF10" i="14"/>
  <c r="AB10" i="14"/>
  <c r="AK10" i="14"/>
  <c r="AL10" i="14"/>
  <c r="AH10" i="14"/>
  <c r="AD10" i="14"/>
  <c r="AM10" i="14"/>
  <c r="AE10" i="14"/>
  <c r="E10" i="14"/>
  <c r="V10" i="14"/>
  <c r="W10" i="14" s="1"/>
  <c r="M484" i="4"/>
  <c r="AF7" i="5"/>
  <c r="D485" i="4"/>
  <c r="F485" i="4"/>
  <c r="C484" i="4"/>
  <c r="AE6" i="5"/>
  <c r="J484" i="4"/>
  <c r="E11" i="14"/>
  <c r="AX12" i="14"/>
  <c r="F12" i="14"/>
  <c r="B486" i="4"/>
  <c r="D486" i="4"/>
  <c r="B13" i="14"/>
  <c r="AD9" i="5"/>
  <c r="BZ9" i="5"/>
  <c r="C12" i="14"/>
  <c r="BB12" i="14"/>
  <c r="AP12" i="14"/>
  <c r="AZ12" i="14"/>
  <c r="D12" i="14"/>
  <c r="AS12" i="14"/>
  <c r="AY12" i="14"/>
  <c r="A12" i="14"/>
  <c r="I485" i="4"/>
  <c r="G485" i="4"/>
  <c r="AD8" i="5"/>
  <c r="BZ8" i="5"/>
  <c r="BA11" i="14"/>
  <c r="AM11" i="14"/>
  <c r="AE11" i="14"/>
  <c r="AJ11" i="14"/>
  <c r="AF11" i="14"/>
  <c r="AB11" i="14"/>
  <c r="AK11" i="14"/>
  <c r="AL11" i="14"/>
  <c r="AH11" i="14"/>
  <c r="AD11" i="14"/>
  <c r="AF8" i="5"/>
  <c r="C485" i="4"/>
  <c r="I486" i="4"/>
  <c r="G486" i="4"/>
  <c r="E486" i="4"/>
  <c r="BA12" i="14"/>
  <c r="AL12" i="14"/>
  <c r="AH12" i="14"/>
  <c r="AD12" i="14"/>
  <c r="AM12" i="14"/>
  <c r="AE12" i="14"/>
  <c r="AJ12" i="14"/>
  <c r="AF12" i="14"/>
  <c r="AB12" i="14"/>
  <c r="AK12" i="14"/>
  <c r="H486" i="4"/>
  <c r="F486" i="4"/>
  <c r="E12" i="14"/>
  <c r="AX13" i="14"/>
  <c r="C13" i="14"/>
  <c r="B14" i="14"/>
  <c r="F13" i="14"/>
  <c r="B487" i="4"/>
  <c r="E487" i="4"/>
  <c r="BB13" i="14"/>
  <c r="AP13" i="14"/>
  <c r="AZ13" i="14"/>
  <c r="A13" i="14"/>
  <c r="AS13" i="14"/>
  <c r="AY13" i="14"/>
  <c r="D13" i="14"/>
  <c r="AF9" i="5"/>
  <c r="AD10" i="5"/>
  <c r="BZ10" i="5"/>
  <c r="D487" i="4"/>
  <c r="G487" i="4"/>
  <c r="I487" i="4"/>
  <c r="C486" i="4"/>
  <c r="H487" i="4"/>
  <c r="BA13" i="14"/>
  <c r="E13" i="14"/>
  <c r="AS14" i="14"/>
  <c r="AY14" i="14"/>
  <c r="A14" i="14"/>
  <c r="BB14" i="14"/>
  <c r="AP14" i="14"/>
  <c r="AZ14" i="14"/>
  <c r="B15" i="14"/>
  <c r="C14" i="14"/>
  <c r="D14" i="14"/>
  <c r="AX14" i="14"/>
  <c r="F488" i="4"/>
  <c r="F14" i="14"/>
  <c r="B488" i="4"/>
  <c r="F487" i="4"/>
  <c r="AL13" i="14"/>
  <c r="AM13" i="14"/>
  <c r="AK13" i="14"/>
  <c r="AF13" i="14"/>
  <c r="AB13" i="14"/>
  <c r="AJ13" i="14"/>
  <c r="AE13" i="14"/>
  <c r="AH13" i="14"/>
  <c r="AD13" i="14"/>
  <c r="AF10" i="5"/>
  <c r="AD11" i="5"/>
  <c r="BZ11" i="5"/>
  <c r="E488" i="4"/>
  <c r="G488" i="4"/>
  <c r="H488" i="4"/>
  <c r="D488" i="4"/>
  <c r="I488" i="4"/>
  <c r="C487" i="4"/>
  <c r="AM14" i="14"/>
  <c r="AE14" i="14"/>
  <c r="AD14" i="14"/>
  <c r="AJ14" i="14"/>
  <c r="AF14" i="14"/>
  <c r="AK14" i="14"/>
  <c r="AL14" i="14"/>
  <c r="AB14" i="14"/>
  <c r="AH14" i="14"/>
  <c r="BA14" i="14"/>
  <c r="E14" i="14"/>
  <c r="AX15" i="14"/>
  <c r="F15" i="14"/>
  <c r="B489" i="4"/>
  <c r="G489" i="4"/>
  <c r="C15" i="14"/>
  <c r="AS15" i="14"/>
  <c r="AY15" i="14"/>
  <c r="BB15" i="14"/>
  <c r="AP15" i="14"/>
  <c r="AZ15" i="14"/>
  <c r="D15" i="14"/>
  <c r="B16" i="14"/>
  <c r="AD12" i="5"/>
  <c r="BZ12" i="5"/>
  <c r="A15" i="14"/>
  <c r="AF11" i="5"/>
  <c r="C488" i="4"/>
  <c r="I489" i="4"/>
  <c r="E489" i="4"/>
  <c r="BA15" i="14"/>
  <c r="F489" i="4"/>
  <c r="B17" i="14"/>
  <c r="AD13" i="5"/>
  <c r="BZ13" i="5"/>
  <c r="C16" i="14"/>
  <c r="D16" i="14"/>
  <c r="AX16" i="14"/>
  <c r="F16" i="14"/>
  <c r="B490" i="4"/>
  <c r="AS16" i="14"/>
  <c r="AY16" i="14"/>
  <c r="A16" i="14"/>
  <c r="BB16" i="14"/>
  <c r="AP16" i="14"/>
  <c r="AZ16" i="14"/>
  <c r="D489" i="4"/>
  <c r="H489" i="4"/>
  <c r="E15" i="14"/>
  <c r="AJ15" i="14"/>
  <c r="AF15" i="14"/>
  <c r="AB15" i="14"/>
  <c r="AE15" i="14"/>
  <c r="AL15" i="14"/>
  <c r="AH15" i="14"/>
  <c r="AD15" i="14"/>
  <c r="AM15" i="14"/>
  <c r="AK15" i="14"/>
  <c r="AF12" i="5"/>
  <c r="G490" i="4"/>
  <c r="I490" i="4"/>
  <c r="E490" i="4"/>
  <c r="C489" i="4"/>
  <c r="BA16" i="14"/>
  <c r="H490" i="4"/>
  <c r="F490" i="4"/>
  <c r="D490" i="4"/>
  <c r="AM16" i="14"/>
  <c r="AE16" i="14"/>
  <c r="AD16" i="14"/>
  <c r="AJ16" i="14"/>
  <c r="AF16" i="14"/>
  <c r="AK16" i="14"/>
  <c r="AL16" i="14"/>
  <c r="AB16" i="14"/>
  <c r="AH16" i="14"/>
  <c r="E16" i="14"/>
  <c r="AX17" i="14"/>
  <c r="F17" i="14"/>
  <c r="B491" i="4"/>
  <c r="I491" i="4"/>
  <c r="C17" i="14"/>
  <c r="AS17" i="14"/>
  <c r="AY17" i="14"/>
  <c r="BB17" i="14"/>
  <c r="AP17" i="14"/>
  <c r="AZ17" i="14"/>
  <c r="D17" i="14"/>
  <c r="B18" i="14"/>
  <c r="AD14" i="5"/>
  <c r="BZ14" i="5"/>
  <c r="A17" i="14"/>
  <c r="AF13" i="5"/>
  <c r="E491" i="4"/>
  <c r="C490" i="4"/>
  <c r="H491" i="4"/>
  <c r="D491" i="4"/>
  <c r="G491" i="4"/>
  <c r="F491" i="4"/>
  <c r="E17" i="14"/>
  <c r="AJ17" i="14"/>
  <c r="AF17" i="14"/>
  <c r="AB17" i="14"/>
  <c r="AE17" i="14"/>
  <c r="AL17" i="14"/>
  <c r="AH17" i="14"/>
  <c r="AD17" i="14"/>
  <c r="AM17" i="14"/>
  <c r="AK17" i="14"/>
  <c r="AS18" i="14"/>
  <c r="AY18" i="14"/>
  <c r="A18" i="14"/>
  <c r="BB18" i="14"/>
  <c r="AP18" i="14"/>
  <c r="AZ18" i="14"/>
  <c r="B19" i="14"/>
  <c r="C18" i="14"/>
  <c r="D18" i="14"/>
  <c r="AX18" i="14"/>
  <c r="F18" i="14"/>
  <c r="B492" i="4"/>
  <c r="D492" i="4"/>
  <c r="BA17" i="14"/>
  <c r="AF14" i="5"/>
  <c r="C491" i="4"/>
  <c r="I492" i="4"/>
  <c r="G492" i="4"/>
  <c r="E492" i="4"/>
  <c r="E18" i="14"/>
  <c r="BB19" i="14"/>
  <c r="AP19" i="14"/>
  <c r="AZ19" i="14"/>
  <c r="D19" i="14"/>
  <c r="B20" i="14"/>
  <c r="A19" i="14"/>
  <c r="AX19" i="14"/>
  <c r="F19" i="14"/>
  <c r="B493" i="4"/>
  <c r="D493" i="4"/>
  <c r="C19" i="14"/>
  <c r="AS19" i="14"/>
  <c r="AY19" i="14"/>
  <c r="H492" i="4"/>
  <c r="F492" i="4"/>
  <c r="AD15" i="5"/>
  <c r="BZ15" i="5"/>
  <c r="AK18" i="14"/>
  <c r="AL18" i="14"/>
  <c r="AB18" i="14"/>
  <c r="AH18" i="14"/>
  <c r="AM18" i="14"/>
  <c r="AE18" i="14"/>
  <c r="AD18" i="14"/>
  <c r="AJ18" i="14"/>
  <c r="AF18" i="14"/>
  <c r="BA18" i="14"/>
  <c r="E493" i="4"/>
  <c r="I493" i="4"/>
  <c r="C492" i="4"/>
  <c r="BA19" i="14"/>
  <c r="G493" i="4"/>
  <c r="H493" i="4"/>
  <c r="AF15" i="5"/>
  <c r="F493" i="4"/>
  <c r="AJ19" i="14"/>
  <c r="AF19" i="14"/>
  <c r="AB19" i="14"/>
  <c r="AE19" i="14"/>
  <c r="AL19" i="14"/>
  <c r="AH19" i="14"/>
  <c r="AD19" i="14"/>
  <c r="AM19" i="14"/>
  <c r="AK19" i="14"/>
  <c r="B21" i="14"/>
  <c r="AD17" i="5"/>
  <c r="BZ17" i="5"/>
  <c r="C20" i="14"/>
  <c r="D20" i="14"/>
  <c r="AX20" i="14"/>
  <c r="F20" i="14"/>
  <c r="B494" i="4"/>
  <c r="D494" i="4"/>
  <c r="AS20" i="14"/>
  <c r="AY20" i="14"/>
  <c r="A20" i="14"/>
  <c r="BB20" i="14"/>
  <c r="AP20" i="14"/>
  <c r="AZ20" i="14"/>
  <c r="AD16" i="5"/>
  <c r="BZ16" i="5"/>
  <c r="E19" i="14"/>
  <c r="AF16" i="5"/>
  <c r="I494" i="4"/>
  <c r="C493" i="4"/>
  <c r="E494" i="4"/>
  <c r="G494" i="4"/>
  <c r="E20" i="14"/>
  <c r="BB21" i="14"/>
  <c r="AP21" i="14"/>
  <c r="AZ21" i="14"/>
  <c r="D21" i="14"/>
  <c r="B22" i="14"/>
  <c r="A21" i="14"/>
  <c r="AX21" i="14"/>
  <c r="F21" i="14"/>
  <c r="B495" i="4"/>
  <c r="D495" i="4"/>
  <c r="C21" i="14"/>
  <c r="AS21" i="14"/>
  <c r="AY21" i="14"/>
  <c r="H494" i="4"/>
  <c r="F494" i="4"/>
  <c r="BA20" i="14"/>
  <c r="AK20" i="14"/>
  <c r="AL20" i="14"/>
  <c r="AB20" i="14"/>
  <c r="AH20" i="14"/>
  <c r="AM20" i="14"/>
  <c r="AE20" i="14"/>
  <c r="AD20" i="14"/>
  <c r="AJ20" i="14"/>
  <c r="AF20" i="14"/>
  <c r="AF17" i="5"/>
  <c r="E495" i="4"/>
  <c r="G495" i="4"/>
  <c r="H495" i="4"/>
  <c r="C494" i="4"/>
  <c r="I495" i="4"/>
  <c r="F495" i="4"/>
  <c r="AJ21" i="14"/>
  <c r="AF21" i="14"/>
  <c r="AB21" i="14"/>
  <c r="AE21" i="14"/>
  <c r="AL21" i="14"/>
  <c r="AH21" i="14"/>
  <c r="AD21" i="14"/>
  <c r="AM21" i="14"/>
  <c r="AK21" i="14"/>
  <c r="B23" i="14"/>
  <c r="AD19" i="5"/>
  <c r="AF19" i="5"/>
  <c r="C22" i="14"/>
  <c r="D22" i="14"/>
  <c r="AX22" i="14"/>
  <c r="F22" i="14"/>
  <c r="B496" i="4"/>
  <c r="E496" i="4"/>
  <c r="AS22" i="14"/>
  <c r="AY22" i="14"/>
  <c r="A22" i="14"/>
  <c r="BB22" i="14"/>
  <c r="AP22" i="14"/>
  <c r="AZ22" i="14"/>
  <c r="BA21" i="14"/>
  <c r="AD18" i="5"/>
  <c r="BZ18" i="5"/>
  <c r="E21" i="14"/>
  <c r="C495" i="4"/>
  <c r="F496" i="4"/>
  <c r="I496" i="4"/>
  <c r="H496" i="4"/>
  <c r="E22" i="14"/>
  <c r="BB23" i="14"/>
  <c r="AP23" i="14"/>
  <c r="AZ23" i="14"/>
  <c r="D23" i="14"/>
  <c r="B24" i="14"/>
  <c r="A23" i="14"/>
  <c r="AX23" i="14"/>
  <c r="F23" i="14"/>
  <c r="B497" i="4"/>
  <c r="C23" i="14"/>
  <c r="AS23" i="14"/>
  <c r="AY23" i="14"/>
  <c r="D496" i="4"/>
  <c r="G496" i="4"/>
  <c r="AF18" i="5"/>
  <c r="BA22" i="14"/>
  <c r="AK22" i="14"/>
  <c r="AL22" i="14"/>
  <c r="AB22" i="14"/>
  <c r="AH22" i="14"/>
  <c r="AM22" i="14"/>
  <c r="AE22" i="14"/>
  <c r="AD22" i="14"/>
  <c r="AJ22" i="14"/>
  <c r="AF22" i="14"/>
  <c r="BZ19" i="5"/>
  <c r="F497" i="4"/>
  <c r="G497" i="4"/>
  <c r="H497" i="4"/>
  <c r="I497" i="4"/>
  <c r="D497" i="4"/>
  <c r="E497" i="4"/>
  <c r="C496" i="4"/>
  <c r="AJ23" i="14"/>
  <c r="AF23" i="14"/>
  <c r="AB23" i="14"/>
  <c r="AE23" i="14"/>
  <c r="AL23" i="14"/>
  <c r="AH23" i="14"/>
  <c r="AD23" i="14"/>
  <c r="AM23" i="14"/>
  <c r="AK23" i="14"/>
  <c r="B25" i="14"/>
  <c r="C24" i="14"/>
  <c r="D24" i="14"/>
  <c r="AX24" i="14"/>
  <c r="F24" i="14"/>
  <c r="B498" i="4"/>
  <c r="G498" i="4"/>
  <c r="AS24" i="14"/>
  <c r="AY24" i="14"/>
  <c r="A24" i="14"/>
  <c r="BB24" i="14"/>
  <c r="AP24" i="14"/>
  <c r="AZ24" i="14"/>
  <c r="BA23" i="14"/>
  <c r="AD20" i="5"/>
  <c r="AF20" i="5"/>
  <c r="E23" i="14"/>
  <c r="BZ20" i="5"/>
  <c r="C497" i="4"/>
  <c r="I498" i="4"/>
  <c r="F498" i="4"/>
  <c r="H498" i="4"/>
  <c r="E24" i="14"/>
  <c r="AX25" i="14"/>
  <c r="F25" i="14"/>
  <c r="B499" i="4"/>
  <c r="C25" i="14"/>
  <c r="AS25" i="14"/>
  <c r="AY25" i="14"/>
  <c r="BB25" i="14"/>
  <c r="AP25" i="14"/>
  <c r="AZ25" i="14"/>
  <c r="D25" i="14"/>
  <c r="B26" i="14"/>
  <c r="A25" i="14"/>
  <c r="D498" i="4"/>
  <c r="E498" i="4"/>
  <c r="AD21" i="5"/>
  <c r="AF21" i="5"/>
  <c r="BA24" i="14"/>
  <c r="AM24" i="14"/>
  <c r="AE24" i="14"/>
  <c r="AD24" i="14"/>
  <c r="AJ24" i="14"/>
  <c r="AF24" i="14"/>
  <c r="AK24" i="14"/>
  <c r="AL24" i="14"/>
  <c r="AB24" i="14"/>
  <c r="AH24" i="14"/>
  <c r="AD22" i="5"/>
  <c r="AF22" i="5"/>
  <c r="I499" i="4"/>
  <c r="E499" i="4"/>
  <c r="G499" i="4"/>
  <c r="C498" i="4"/>
  <c r="BA25" i="14"/>
  <c r="H499" i="4"/>
  <c r="B27" i="14"/>
  <c r="C26" i="14"/>
  <c r="D26" i="14"/>
  <c r="AX26" i="14"/>
  <c r="F26" i="14"/>
  <c r="B500" i="4"/>
  <c r="AS26" i="14"/>
  <c r="AY26" i="14"/>
  <c r="A26" i="14"/>
  <c r="BB26" i="14"/>
  <c r="AP26" i="14"/>
  <c r="AZ26" i="14"/>
  <c r="F499" i="4"/>
  <c r="D499" i="4"/>
  <c r="BZ21" i="5"/>
  <c r="E25" i="14"/>
  <c r="AJ25" i="14"/>
  <c r="AF25" i="14"/>
  <c r="AB25" i="14"/>
  <c r="AE25" i="14"/>
  <c r="AL25" i="14"/>
  <c r="AH25" i="14"/>
  <c r="AD25" i="14"/>
  <c r="AM25" i="14"/>
  <c r="AK25" i="14"/>
  <c r="BZ22" i="5"/>
  <c r="AD23" i="5"/>
  <c r="BZ23" i="5"/>
  <c r="I500" i="4"/>
  <c r="D500" i="4"/>
  <c r="G500" i="4"/>
  <c r="F500" i="4"/>
  <c r="E500" i="4"/>
  <c r="C499" i="4"/>
  <c r="H500" i="4"/>
  <c r="BA26" i="14"/>
  <c r="AM26" i="14"/>
  <c r="AE26" i="14"/>
  <c r="AD26" i="14"/>
  <c r="AJ26" i="14"/>
  <c r="AF26" i="14"/>
  <c r="AK26" i="14"/>
  <c r="AL26" i="14"/>
  <c r="AB26" i="14"/>
  <c r="AH26" i="14"/>
  <c r="E26" i="14"/>
  <c r="AX27" i="14"/>
  <c r="F27" i="14"/>
  <c r="B501" i="4"/>
  <c r="D501" i="4"/>
  <c r="C27" i="14"/>
  <c r="AS27" i="14"/>
  <c r="AY27" i="14"/>
  <c r="BB27" i="14"/>
  <c r="AP27" i="14"/>
  <c r="AZ27" i="14"/>
  <c r="D27" i="14"/>
  <c r="B28" i="14"/>
  <c r="A27" i="14"/>
  <c r="AF23" i="5"/>
  <c r="E501" i="4"/>
  <c r="C500" i="4"/>
  <c r="AD24" i="5"/>
  <c r="AF24" i="5"/>
  <c r="I501" i="4"/>
  <c r="G501" i="4"/>
  <c r="H501" i="4"/>
  <c r="F501" i="4"/>
  <c r="BA27" i="14"/>
  <c r="E27" i="14"/>
  <c r="AJ27" i="14"/>
  <c r="AF27" i="14"/>
  <c r="AB27" i="14"/>
  <c r="AE27" i="14"/>
  <c r="AL27" i="14"/>
  <c r="AH27" i="14"/>
  <c r="AD27" i="14"/>
  <c r="AM27" i="14"/>
  <c r="AK27" i="14"/>
  <c r="BB28" i="14"/>
  <c r="AP28" i="14"/>
  <c r="AZ28" i="14"/>
  <c r="A28" i="14"/>
  <c r="D28" i="14"/>
  <c r="F28" i="14"/>
  <c r="B502" i="4"/>
  <c r="E502" i="4"/>
  <c r="AX28" i="14"/>
  <c r="C28" i="14"/>
  <c r="AS28" i="14"/>
  <c r="AY28" i="14"/>
  <c r="B29" i="14"/>
  <c r="AD25" i="5"/>
  <c r="AF25" i="5"/>
  <c r="BZ24" i="5"/>
  <c r="C501" i="4"/>
  <c r="D502" i="4"/>
  <c r="H502" i="4"/>
  <c r="F502" i="4"/>
  <c r="G502" i="4"/>
  <c r="I502" i="4"/>
  <c r="E28" i="14"/>
  <c r="BA28" i="14"/>
  <c r="AS29" i="14"/>
  <c r="AY29" i="14"/>
  <c r="A29" i="14"/>
  <c r="AX29" i="14"/>
  <c r="BB29" i="14"/>
  <c r="B30" i="14"/>
  <c r="AD26" i="5"/>
  <c r="BZ26" i="5"/>
  <c r="C29" i="14"/>
  <c r="D29" i="14"/>
  <c r="F29" i="14"/>
  <c r="B503" i="4"/>
  <c r="D503" i="4"/>
  <c r="AP29" i="14"/>
  <c r="AZ29" i="14"/>
  <c r="BA29" i="14"/>
  <c r="AL28" i="14"/>
  <c r="AH28" i="14"/>
  <c r="AD28" i="14"/>
  <c r="AM28" i="14"/>
  <c r="AK28" i="14"/>
  <c r="AJ28" i="14"/>
  <c r="AF28" i="14"/>
  <c r="AB28" i="14"/>
  <c r="AE28" i="14"/>
  <c r="BZ25" i="5"/>
  <c r="C502" i="4"/>
  <c r="E503" i="4"/>
  <c r="I503" i="4"/>
  <c r="G503" i="4"/>
  <c r="F503" i="4"/>
  <c r="H503" i="4"/>
  <c r="E29" i="14"/>
  <c r="BB30" i="14"/>
  <c r="AP30" i="14"/>
  <c r="AZ30" i="14"/>
  <c r="D30" i="14"/>
  <c r="AS30" i="14"/>
  <c r="AY30" i="14"/>
  <c r="B31" i="14"/>
  <c r="AD27" i="5"/>
  <c r="BZ27" i="5"/>
  <c r="AX30" i="14"/>
  <c r="F30" i="14"/>
  <c r="B504" i="4"/>
  <c r="G504" i="4"/>
  <c r="C30" i="14"/>
  <c r="A30" i="14"/>
  <c r="BA30" i="14"/>
  <c r="AK29" i="14"/>
  <c r="AL29" i="14"/>
  <c r="AB29" i="14"/>
  <c r="AH29" i="14"/>
  <c r="AM29" i="14"/>
  <c r="AE29" i="14"/>
  <c r="AD29" i="14"/>
  <c r="AJ29" i="14"/>
  <c r="AF29" i="14"/>
  <c r="AF26" i="5"/>
  <c r="E504" i="4"/>
  <c r="D504" i="4"/>
  <c r="C503" i="4"/>
  <c r="I504" i="4"/>
  <c r="F504" i="4"/>
  <c r="H504" i="4"/>
  <c r="AJ30" i="14"/>
  <c r="AF30" i="14"/>
  <c r="AB30" i="14"/>
  <c r="AE30" i="14"/>
  <c r="AL30" i="14"/>
  <c r="AH30" i="14"/>
  <c r="AD30" i="14"/>
  <c r="AM30" i="14"/>
  <c r="AK30" i="14"/>
  <c r="B32" i="14"/>
  <c r="C31" i="14"/>
  <c r="D31" i="14"/>
  <c r="F31" i="14"/>
  <c r="B505" i="4"/>
  <c r="G505" i="4"/>
  <c r="AP31" i="14"/>
  <c r="AZ31" i="14"/>
  <c r="AS31" i="14"/>
  <c r="AY31" i="14"/>
  <c r="A31" i="14"/>
  <c r="AX31" i="14"/>
  <c r="BB31" i="14"/>
  <c r="E30" i="14"/>
  <c r="AF27" i="5"/>
  <c r="AD28" i="5"/>
  <c r="BZ28" i="5"/>
  <c r="C504" i="4"/>
  <c r="H505" i="4"/>
  <c r="D505" i="4"/>
  <c r="F505" i="4"/>
  <c r="AK31" i="14"/>
  <c r="AL31" i="14"/>
  <c r="AB31" i="14"/>
  <c r="AH31" i="14"/>
  <c r="AM31" i="14"/>
  <c r="AE31" i="14"/>
  <c r="AD31" i="14"/>
  <c r="AJ31" i="14"/>
  <c r="AF31" i="14"/>
  <c r="E505" i="4"/>
  <c r="I505" i="4"/>
  <c r="BA31" i="14"/>
  <c r="E31" i="14"/>
  <c r="BB32" i="14"/>
  <c r="AP32" i="14"/>
  <c r="AZ32" i="14"/>
  <c r="D32" i="14"/>
  <c r="AS32" i="14"/>
  <c r="AY32" i="14"/>
  <c r="B33" i="14"/>
  <c r="AD29" i="5"/>
  <c r="BZ29" i="5"/>
  <c r="AX32" i="14"/>
  <c r="BA32" i="14"/>
  <c r="F32" i="14"/>
  <c r="B506" i="4"/>
  <c r="I506" i="4"/>
  <c r="C32" i="14"/>
  <c r="A32" i="14"/>
  <c r="AF28" i="5"/>
  <c r="G506" i="4"/>
  <c r="C505" i="4"/>
  <c r="E506" i="4"/>
  <c r="H506" i="4"/>
  <c r="F506" i="4"/>
  <c r="D506" i="4"/>
  <c r="AJ32" i="14"/>
  <c r="AF32" i="14"/>
  <c r="AB32" i="14"/>
  <c r="AE32" i="14"/>
  <c r="AL32" i="14"/>
  <c r="AH32" i="14"/>
  <c r="AD32" i="14"/>
  <c r="AM32" i="14"/>
  <c r="AK32" i="14"/>
  <c r="B34" i="14"/>
  <c r="C33" i="14"/>
  <c r="D33" i="14"/>
  <c r="F33" i="14"/>
  <c r="B507" i="4"/>
  <c r="H507" i="4"/>
  <c r="AP33" i="14"/>
  <c r="AZ33" i="14"/>
  <c r="AS33" i="14"/>
  <c r="AY33" i="14"/>
  <c r="A33" i="14"/>
  <c r="AX33" i="14"/>
  <c r="BB33" i="14"/>
  <c r="E32" i="14"/>
  <c r="AF29" i="5"/>
  <c r="AD30" i="5"/>
  <c r="BZ30" i="5"/>
  <c r="I507" i="4"/>
  <c r="F507" i="4"/>
  <c r="D507" i="4"/>
  <c r="C506" i="4"/>
  <c r="E507" i="4"/>
  <c r="G507" i="4"/>
  <c r="BA33" i="14"/>
  <c r="E33" i="14"/>
  <c r="BB34" i="14"/>
  <c r="AP34" i="14"/>
  <c r="AZ34" i="14"/>
  <c r="BA34" i="14"/>
  <c r="D34" i="14"/>
  <c r="AS34" i="14"/>
  <c r="AY34" i="14"/>
  <c r="B35" i="14"/>
  <c r="AD31" i="5"/>
  <c r="AF31" i="5"/>
  <c r="AX34" i="14"/>
  <c r="F34" i="14"/>
  <c r="B508" i="4"/>
  <c r="D508" i="4"/>
  <c r="C34" i="14"/>
  <c r="A34" i="14"/>
  <c r="AK33" i="14"/>
  <c r="AL33" i="14"/>
  <c r="AB33" i="14"/>
  <c r="AH33" i="14"/>
  <c r="AM33" i="14"/>
  <c r="AE33" i="14"/>
  <c r="AD33" i="14"/>
  <c r="AJ33" i="14"/>
  <c r="AF33" i="14"/>
  <c r="AF30" i="5"/>
  <c r="I508" i="4"/>
  <c r="E508" i="4"/>
  <c r="C507" i="4"/>
  <c r="G508" i="4"/>
  <c r="F508" i="4"/>
  <c r="H508" i="4"/>
  <c r="AJ34" i="14"/>
  <c r="AF34" i="14"/>
  <c r="AB34" i="14"/>
  <c r="AE34" i="14"/>
  <c r="AL34" i="14"/>
  <c r="AH34" i="14"/>
  <c r="AD34" i="14"/>
  <c r="AM34" i="14"/>
  <c r="AK34" i="14"/>
  <c r="BB35" i="14"/>
  <c r="AP35" i="14"/>
  <c r="AZ35" i="14"/>
  <c r="AS35" i="14"/>
  <c r="AY35" i="14"/>
  <c r="A35" i="14"/>
  <c r="F35" i="14"/>
  <c r="B509" i="4"/>
  <c r="D509" i="4"/>
  <c r="AX35" i="14"/>
  <c r="B36" i="14"/>
  <c r="AD32" i="5"/>
  <c r="BZ32" i="5"/>
  <c r="C35" i="14"/>
  <c r="D35" i="14"/>
  <c r="E34" i="14"/>
  <c r="BZ31" i="5"/>
  <c r="C508" i="4"/>
  <c r="E509" i="4"/>
  <c r="I509" i="4"/>
  <c r="G509" i="4"/>
  <c r="H509" i="4"/>
  <c r="F509" i="4"/>
  <c r="AL35" i="14"/>
  <c r="AH35" i="14"/>
  <c r="AD35" i="14"/>
  <c r="AK35" i="14"/>
  <c r="AE35" i="14"/>
  <c r="AJ35" i="14"/>
  <c r="AF35" i="14"/>
  <c r="AB35" i="14"/>
  <c r="AM35" i="14"/>
  <c r="BA35" i="14"/>
  <c r="E35" i="14"/>
  <c r="AS36" i="14"/>
  <c r="AY36" i="14"/>
  <c r="A36" i="14"/>
  <c r="AX36" i="14"/>
  <c r="F36" i="14"/>
  <c r="B510" i="4"/>
  <c r="E510" i="4"/>
  <c r="B37" i="14"/>
  <c r="AD33" i="5"/>
  <c r="BZ33" i="5"/>
  <c r="C36" i="14"/>
  <c r="BB36" i="14"/>
  <c r="AP36" i="14"/>
  <c r="AZ36" i="14"/>
  <c r="D36" i="14"/>
  <c r="AF32" i="5"/>
  <c r="C509" i="4"/>
  <c r="F510" i="4"/>
  <c r="BA36" i="14"/>
  <c r="H510" i="4"/>
  <c r="D510" i="4"/>
  <c r="AK36" i="14"/>
  <c r="AJ36" i="14"/>
  <c r="AF36" i="14"/>
  <c r="AD36" i="14"/>
  <c r="AM36" i="14"/>
  <c r="AE36" i="14"/>
  <c r="AH36" i="14"/>
  <c r="AL36" i="14"/>
  <c r="AB36" i="14"/>
  <c r="I510" i="4"/>
  <c r="G510" i="4"/>
  <c r="E36" i="14"/>
  <c r="BB37" i="14"/>
  <c r="AP37" i="14"/>
  <c r="AZ37" i="14"/>
  <c r="D37" i="14"/>
  <c r="AS37" i="14"/>
  <c r="AY37" i="14"/>
  <c r="C37" i="14"/>
  <c r="AX37" i="14"/>
  <c r="BA37" i="14"/>
  <c r="F37" i="14"/>
  <c r="B511" i="4"/>
  <c r="E511" i="4"/>
  <c r="B38" i="14"/>
  <c r="K42" i="14"/>
  <c r="A37" i="14"/>
  <c r="AF33" i="5"/>
  <c r="C510" i="4"/>
  <c r="AD34" i="5"/>
  <c r="BZ34" i="5"/>
  <c r="G511" i="4"/>
  <c r="D511" i="4"/>
  <c r="I511" i="4"/>
  <c r="F511" i="4"/>
  <c r="H511" i="4"/>
  <c r="B8" i="15"/>
  <c r="C38" i="14"/>
  <c r="BB38" i="14"/>
  <c r="AP38" i="14"/>
  <c r="AZ38" i="14"/>
  <c r="D38" i="14"/>
  <c r="AS38" i="14"/>
  <c r="AY38" i="14"/>
  <c r="H512" i="4"/>
  <c r="A38" i="14"/>
  <c r="AX38" i="14"/>
  <c r="F38" i="14"/>
  <c r="B512" i="4"/>
  <c r="E512" i="4"/>
  <c r="AL37" i="14"/>
  <c r="AH37" i="14"/>
  <c r="AD37" i="14"/>
  <c r="AK37" i="14"/>
  <c r="AE37" i="14"/>
  <c r="AJ37" i="14"/>
  <c r="AF37" i="14"/>
  <c r="AB37" i="14"/>
  <c r="AM37" i="14"/>
  <c r="E37" i="14"/>
  <c r="AF34" i="5"/>
  <c r="AG4" i="5"/>
  <c r="AI4" i="5"/>
  <c r="I512" i="4"/>
  <c r="C511" i="4"/>
  <c r="F512" i="4"/>
  <c r="F513" i="4" s="1"/>
  <c r="BA38" i="14"/>
  <c r="V38" i="14"/>
  <c r="W38" i="14" s="1"/>
  <c r="E38" i="14"/>
  <c r="E4" i="15"/>
  <c r="BB8" i="15"/>
  <c r="D8" i="15"/>
  <c r="AS8" i="15"/>
  <c r="AY8" i="15"/>
  <c r="A8" i="15"/>
  <c r="F8" i="15"/>
  <c r="B534" i="4"/>
  <c r="E534" i="4"/>
  <c r="B9" i="15"/>
  <c r="AG5" i="5"/>
  <c r="AI5" i="5"/>
  <c r="C8" i="15"/>
  <c r="AX8" i="15"/>
  <c r="AP8" i="15"/>
  <c r="AZ8" i="15"/>
  <c r="D512" i="4"/>
  <c r="G512" i="4"/>
  <c r="G513" i="4"/>
  <c r="AM38" i="14"/>
  <c r="AM40" i="14"/>
  <c r="AM41" i="14"/>
  <c r="AM39" i="15"/>
  <c r="AE38" i="14"/>
  <c r="AE40" i="14"/>
  <c r="AE41" i="14"/>
  <c r="AE39" i="15"/>
  <c r="AH38" i="14"/>
  <c r="AH40" i="14"/>
  <c r="AH41" i="14"/>
  <c r="AH39" i="15"/>
  <c r="AL38" i="14"/>
  <c r="AL40" i="14"/>
  <c r="AL41" i="14"/>
  <c r="AL39" i="15"/>
  <c r="AB38" i="14"/>
  <c r="AB40" i="14"/>
  <c r="AK38" i="14"/>
  <c r="AK40" i="14"/>
  <c r="AK41" i="14"/>
  <c r="AK39" i="15"/>
  <c r="AJ38" i="14"/>
  <c r="AJ40" i="14"/>
  <c r="AJ41" i="14"/>
  <c r="AJ39" i="15"/>
  <c r="AF38" i="14"/>
  <c r="AF40" i="14"/>
  <c r="AF41" i="14"/>
  <c r="AF39" i="15"/>
  <c r="AD38" i="14"/>
  <c r="AD40" i="14"/>
  <c r="AD41" i="14"/>
  <c r="AD39" i="15"/>
  <c r="D534" i="4"/>
  <c r="C512" i="4"/>
  <c r="E513" i="4"/>
  <c r="H513" i="4"/>
  <c r="CD4" i="5"/>
  <c r="H534" i="4"/>
  <c r="F534" i="4"/>
  <c r="BA8" i="15"/>
  <c r="K40" i="14"/>
  <c r="AB41" i="14"/>
  <c r="AL8" i="15"/>
  <c r="AH8" i="15"/>
  <c r="AD8" i="15"/>
  <c r="AM8" i="15"/>
  <c r="AE8" i="15"/>
  <c r="AF8" i="15"/>
  <c r="AK8" i="15"/>
  <c r="AJ8" i="15"/>
  <c r="AB8" i="15"/>
  <c r="G534" i="4"/>
  <c r="I534" i="4"/>
  <c r="AS9" i="15"/>
  <c r="AY9" i="15"/>
  <c r="A9" i="15"/>
  <c r="AX9" i="15"/>
  <c r="F9" i="15"/>
  <c r="B535" i="4"/>
  <c r="G535" i="4"/>
  <c r="B10" i="15"/>
  <c r="BB9" i="15"/>
  <c r="D9" i="15"/>
  <c r="C9" i="15"/>
  <c r="AP9" i="15"/>
  <c r="AZ9" i="15"/>
  <c r="BA9" i="15"/>
  <c r="E8" i="15"/>
  <c r="CD5" i="5"/>
  <c r="AG6" i="5"/>
  <c r="AI6" i="5"/>
  <c r="D535" i="4"/>
  <c r="D528" i="4"/>
  <c r="C534" i="4"/>
  <c r="K41" i="14"/>
  <c r="AB39" i="15"/>
  <c r="K39" i="15"/>
  <c r="H535" i="4"/>
  <c r="F535" i="4"/>
  <c r="AM9" i="15"/>
  <c r="AE9" i="15"/>
  <c r="AJ9" i="15"/>
  <c r="AF9" i="15"/>
  <c r="AB9" i="15"/>
  <c r="AK9" i="15"/>
  <c r="AL9" i="15"/>
  <c r="AH9" i="15"/>
  <c r="AD9" i="15"/>
  <c r="I535" i="4"/>
  <c r="E535" i="4"/>
  <c r="E9" i="15"/>
  <c r="AS10" i="15"/>
  <c r="AY10" i="15"/>
  <c r="AX10" i="15"/>
  <c r="F10" i="15"/>
  <c r="B536" i="4"/>
  <c r="E536" i="4"/>
  <c r="C10" i="15"/>
  <c r="B11" i="15"/>
  <c r="BB10" i="15"/>
  <c r="AP10" i="15"/>
  <c r="AZ10" i="15"/>
  <c r="D10" i="15"/>
  <c r="A10" i="15"/>
  <c r="CD6" i="5"/>
  <c r="C535" i="4"/>
  <c r="F536" i="4"/>
  <c r="BA10" i="15"/>
  <c r="H536" i="4"/>
  <c r="D536" i="4"/>
  <c r="BB11" i="15"/>
  <c r="AP11" i="15"/>
  <c r="AZ11" i="15"/>
  <c r="D11" i="15"/>
  <c r="AS11" i="15"/>
  <c r="AY11" i="15"/>
  <c r="C11" i="15"/>
  <c r="AX11" i="15"/>
  <c r="BA11" i="15"/>
  <c r="F11" i="15"/>
  <c r="B537" i="4"/>
  <c r="D537" i="4"/>
  <c r="B12" i="15"/>
  <c r="A11" i="15"/>
  <c r="G536" i="4"/>
  <c r="I536" i="4"/>
  <c r="AG7" i="5"/>
  <c r="AI7" i="5"/>
  <c r="E10" i="15"/>
  <c r="AK10" i="15"/>
  <c r="AH10" i="15"/>
  <c r="AD10" i="15"/>
  <c r="AL10" i="15"/>
  <c r="AM10" i="15"/>
  <c r="AJ10" i="15"/>
  <c r="AF10" i="15"/>
  <c r="AB10" i="15"/>
  <c r="AE10" i="15"/>
  <c r="AG8" i="5"/>
  <c r="AI8" i="5"/>
  <c r="E537" i="4"/>
  <c r="I537" i="4"/>
  <c r="C536" i="4"/>
  <c r="G537" i="4"/>
  <c r="AL11" i="15"/>
  <c r="AH11" i="15"/>
  <c r="AD11" i="15"/>
  <c r="AK11" i="15"/>
  <c r="AE11" i="15"/>
  <c r="AJ11" i="15"/>
  <c r="AF11" i="15"/>
  <c r="AB11" i="15"/>
  <c r="AM11" i="15"/>
  <c r="E11" i="15"/>
  <c r="H537" i="4"/>
  <c r="F537" i="4"/>
  <c r="CD7" i="5"/>
  <c r="AS12" i="15"/>
  <c r="AY12" i="15"/>
  <c r="A12" i="15"/>
  <c r="AX12" i="15"/>
  <c r="F12" i="15"/>
  <c r="B538" i="4"/>
  <c r="E538" i="4"/>
  <c r="B13" i="15"/>
  <c r="AG9" i="5"/>
  <c r="AI9" i="5"/>
  <c r="C12" i="15"/>
  <c r="BB12" i="15"/>
  <c r="AP12" i="15"/>
  <c r="AZ12" i="15"/>
  <c r="D12" i="15"/>
  <c r="CD8" i="5"/>
  <c r="H538" i="4"/>
  <c r="C537" i="4"/>
  <c r="D538" i="4"/>
  <c r="BA12" i="15"/>
  <c r="F538" i="4"/>
  <c r="AM12" i="15"/>
  <c r="AE12" i="15"/>
  <c r="AJ12" i="15"/>
  <c r="AF12" i="15"/>
  <c r="AB12" i="15"/>
  <c r="AK12" i="15"/>
  <c r="AL12" i="15"/>
  <c r="AH12" i="15"/>
  <c r="AD12" i="15"/>
  <c r="I538" i="4"/>
  <c r="G538" i="4"/>
  <c r="E12" i="15"/>
  <c r="AX13" i="15"/>
  <c r="F13" i="15"/>
  <c r="B539" i="4"/>
  <c r="B14" i="15"/>
  <c r="C13" i="15"/>
  <c r="BB13" i="15"/>
  <c r="AP13" i="15"/>
  <c r="AZ13" i="15"/>
  <c r="D13" i="15"/>
  <c r="AS13" i="15"/>
  <c r="AY13" i="15"/>
  <c r="A13" i="15"/>
  <c r="CD9" i="5"/>
  <c r="G539" i="4"/>
  <c r="I539" i="4"/>
  <c r="E539" i="4"/>
  <c r="C538" i="4"/>
  <c r="F539" i="4"/>
  <c r="D539" i="4"/>
  <c r="H539" i="4"/>
  <c r="BA13" i="15"/>
  <c r="E13" i="15"/>
  <c r="B15" i="15"/>
  <c r="C14" i="15"/>
  <c r="BB14" i="15"/>
  <c r="AP14" i="15"/>
  <c r="AZ14" i="15"/>
  <c r="BA14" i="15"/>
  <c r="D14" i="15"/>
  <c r="AS14" i="15"/>
  <c r="AY14" i="15"/>
  <c r="A14" i="15"/>
  <c r="AX14" i="15"/>
  <c r="F14" i="15"/>
  <c r="B540" i="4"/>
  <c r="AG10" i="5"/>
  <c r="AI10" i="5"/>
  <c r="AJ13" i="15"/>
  <c r="AF13" i="15"/>
  <c r="AB13" i="15"/>
  <c r="AK13" i="15"/>
  <c r="AL13" i="15"/>
  <c r="AH13" i="15"/>
  <c r="AD13" i="15"/>
  <c r="AM13" i="15"/>
  <c r="AE13" i="15"/>
  <c r="AG11" i="5"/>
  <c r="AI11" i="5"/>
  <c r="G540" i="4"/>
  <c r="H540" i="4"/>
  <c r="I540" i="4"/>
  <c r="D540" i="4"/>
  <c r="E540" i="4"/>
  <c r="F540" i="4"/>
  <c r="C539" i="4"/>
  <c r="CD10" i="5"/>
  <c r="AK14" i="15"/>
  <c r="AL14" i="15"/>
  <c r="AH14" i="15"/>
  <c r="AD14" i="15"/>
  <c r="AM14" i="15"/>
  <c r="AE14" i="15"/>
  <c r="AJ14" i="15"/>
  <c r="AF14" i="15"/>
  <c r="AB14" i="15"/>
  <c r="E14" i="15"/>
  <c r="BB15" i="15"/>
  <c r="AP15" i="15"/>
  <c r="AZ15" i="15"/>
  <c r="D15" i="15"/>
  <c r="AS15" i="15"/>
  <c r="AY15" i="15"/>
  <c r="A15" i="15"/>
  <c r="AX15" i="15"/>
  <c r="F15" i="15"/>
  <c r="B541" i="4"/>
  <c r="G541" i="4"/>
  <c r="B16" i="15"/>
  <c r="C15" i="15"/>
  <c r="CD11" i="5"/>
  <c r="I541" i="4"/>
  <c r="D541" i="4"/>
  <c r="C540" i="4"/>
  <c r="AG12" i="5"/>
  <c r="AI12" i="5"/>
  <c r="H541" i="4"/>
  <c r="AJ15" i="15"/>
  <c r="AF15" i="15"/>
  <c r="AB15" i="15"/>
  <c r="AK15" i="15"/>
  <c r="AL15" i="15"/>
  <c r="AH15" i="15"/>
  <c r="AD15" i="15"/>
  <c r="AM15" i="15"/>
  <c r="AE15" i="15"/>
  <c r="E15" i="15"/>
  <c r="E541" i="4"/>
  <c r="F541" i="4"/>
  <c r="B17" i="15"/>
  <c r="C16" i="15"/>
  <c r="BB16" i="15"/>
  <c r="AP16" i="15"/>
  <c r="AZ16" i="15"/>
  <c r="D16" i="15"/>
  <c r="AS16" i="15"/>
  <c r="AY16" i="15"/>
  <c r="A16" i="15"/>
  <c r="AX16" i="15"/>
  <c r="F16" i="15"/>
  <c r="B542" i="4"/>
  <c r="D542" i="4"/>
  <c r="BA16" i="15"/>
  <c r="BA15" i="15"/>
  <c r="CD12" i="5"/>
  <c r="C541" i="4"/>
  <c r="E542" i="4"/>
  <c r="G542" i="4"/>
  <c r="I542" i="4"/>
  <c r="E16" i="15"/>
  <c r="BB17" i="15"/>
  <c r="AP17" i="15"/>
  <c r="AZ17" i="15"/>
  <c r="D17" i="15"/>
  <c r="AS17" i="15"/>
  <c r="AY17" i="15"/>
  <c r="A17" i="15"/>
  <c r="AX17" i="15"/>
  <c r="F17" i="15"/>
  <c r="B543" i="4"/>
  <c r="E543" i="4"/>
  <c r="B18" i="15"/>
  <c r="C17" i="15"/>
  <c r="H542" i="4"/>
  <c r="F542" i="4"/>
  <c r="AG13" i="5"/>
  <c r="AI13" i="5"/>
  <c r="AK16" i="15"/>
  <c r="AL16" i="15"/>
  <c r="AH16" i="15"/>
  <c r="AD16" i="15"/>
  <c r="AM16" i="15"/>
  <c r="AE16" i="15"/>
  <c r="AJ16" i="15"/>
  <c r="AF16" i="15"/>
  <c r="AB16" i="15"/>
  <c r="C542" i="4"/>
  <c r="BA17" i="15"/>
  <c r="D543" i="4"/>
  <c r="G543" i="4"/>
  <c r="H543" i="4"/>
  <c r="I543" i="4"/>
  <c r="AS18" i="15"/>
  <c r="AY18" i="15"/>
  <c r="A18" i="15"/>
  <c r="AX18" i="15"/>
  <c r="F18" i="15"/>
  <c r="B544" i="4"/>
  <c r="D544" i="4"/>
  <c r="B19" i="15"/>
  <c r="C18" i="15"/>
  <c r="BB18" i="15"/>
  <c r="AP18" i="15"/>
  <c r="AZ18" i="15"/>
  <c r="D18" i="15"/>
  <c r="F543" i="4"/>
  <c r="AG14" i="5"/>
  <c r="AI14" i="5"/>
  <c r="CD13" i="5"/>
  <c r="AL17" i="15"/>
  <c r="AH17" i="15"/>
  <c r="AD17" i="15"/>
  <c r="AM17" i="15"/>
  <c r="AE17" i="15"/>
  <c r="AJ17" i="15"/>
  <c r="AF17" i="15"/>
  <c r="AB17" i="15"/>
  <c r="AK17" i="15"/>
  <c r="E17" i="15"/>
  <c r="G544" i="4"/>
  <c r="C543" i="4"/>
  <c r="AG15" i="5"/>
  <c r="CD15" i="5"/>
  <c r="CD14" i="5"/>
  <c r="BA18" i="15"/>
  <c r="I544" i="4"/>
  <c r="E544" i="4"/>
  <c r="AM18" i="15"/>
  <c r="AE18" i="15"/>
  <c r="AJ18" i="15"/>
  <c r="AF18" i="15"/>
  <c r="AB18" i="15"/>
  <c r="AK18" i="15"/>
  <c r="AL18" i="15"/>
  <c r="AH18" i="15"/>
  <c r="AD18" i="15"/>
  <c r="H544" i="4"/>
  <c r="F544" i="4"/>
  <c r="E18" i="15"/>
  <c r="AX19" i="15"/>
  <c r="F19" i="15"/>
  <c r="B545" i="4"/>
  <c r="D545" i="4"/>
  <c r="B20" i="15"/>
  <c r="C19" i="15"/>
  <c r="BB19" i="15"/>
  <c r="AP19" i="15"/>
  <c r="AZ19" i="15"/>
  <c r="D19" i="15"/>
  <c r="AS19" i="15"/>
  <c r="AY19" i="15"/>
  <c r="A19" i="15"/>
  <c r="AI15" i="5"/>
  <c r="AG16" i="5"/>
  <c r="AI16" i="5"/>
  <c r="C544" i="4"/>
  <c r="BA19" i="15"/>
  <c r="H545" i="4"/>
  <c r="E545" i="4"/>
  <c r="G545" i="4"/>
  <c r="AJ19" i="15"/>
  <c r="AF19" i="15"/>
  <c r="AB19" i="15"/>
  <c r="AK19" i="15"/>
  <c r="AL19" i="15"/>
  <c r="AH19" i="15"/>
  <c r="AD19" i="15"/>
  <c r="AM19" i="15"/>
  <c r="AE19" i="15"/>
  <c r="I545" i="4"/>
  <c r="F545" i="4"/>
  <c r="E19" i="15"/>
  <c r="B21" i="15"/>
  <c r="C20" i="15"/>
  <c r="BB20" i="15"/>
  <c r="AP20" i="15"/>
  <c r="AZ20" i="15"/>
  <c r="BA20" i="15"/>
  <c r="D20" i="15"/>
  <c r="AS20" i="15"/>
  <c r="AY20" i="15"/>
  <c r="A20" i="15"/>
  <c r="AX20" i="15"/>
  <c r="F20" i="15"/>
  <c r="B546" i="4"/>
  <c r="CD16" i="5"/>
  <c r="E546" i="4"/>
  <c r="G546" i="4"/>
  <c r="D546" i="4"/>
  <c r="C545" i="4"/>
  <c r="F546" i="4"/>
  <c r="E20" i="15"/>
  <c r="AX21" i="15"/>
  <c r="F21" i="15"/>
  <c r="B547" i="4"/>
  <c r="G547" i="4"/>
  <c r="B22" i="15"/>
  <c r="A21" i="15"/>
  <c r="BB21" i="15"/>
  <c r="AP21" i="15"/>
  <c r="AZ21" i="15"/>
  <c r="D21" i="15"/>
  <c r="AS21" i="15"/>
  <c r="AY21" i="15"/>
  <c r="C21" i="15"/>
  <c r="I546" i="4"/>
  <c r="H546" i="4"/>
  <c r="AG17" i="5"/>
  <c r="AI17" i="5"/>
  <c r="AM20" i="15"/>
  <c r="AE20" i="15"/>
  <c r="AJ20" i="15"/>
  <c r="AF20" i="15"/>
  <c r="AB20" i="15"/>
  <c r="AK20" i="15"/>
  <c r="AL20" i="15"/>
  <c r="AH20" i="15"/>
  <c r="AD20" i="15"/>
  <c r="CD17" i="5"/>
  <c r="AG18" i="5"/>
  <c r="AI18" i="5"/>
  <c r="I547" i="4"/>
  <c r="C546" i="4"/>
  <c r="BA21" i="15"/>
  <c r="E547" i="4"/>
  <c r="F547" i="4"/>
  <c r="AJ21" i="15"/>
  <c r="AF21" i="15"/>
  <c r="AB21" i="15"/>
  <c r="AM21" i="15"/>
  <c r="AL21" i="15"/>
  <c r="AH21" i="15"/>
  <c r="AD21" i="15"/>
  <c r="AK21" i="15"/>
  <c r="AE21" i="15"/>
  <c r="E21" i="15"/>
  <c r="D547" i="4"/>
  <c r="H547" i="4"/>
  <c r="B23" i="15"/>
  <c r="C22" i="15"/>
  <c r="BB22" i="15"/>
  <c r="AP22" i="15"/>
  <c r="AZ22" i="15"/>
  <c r="D22" i="15"/>
  <c r="AS22" i="15"/>
  <c r="AY22" i="15"/>
  <c r="A22" i="15"/>
  <c r="AX22" i="15"/>
  <c r="F22" i="15"/>
  <c r="B548" i="4"/>
  <c r="I548" i="4"/>
  <c r="BA22" i="15"/>
  <c r="CD18" i="5"/>
  <c r="C547" i="4"/>
  <c r="H548" i="4"/>
  <c r="F548" i="4"/>
  <c r="G548" i="4"/>
  <c r="E22" i="15"/>
  <c r="BB23" i="15"/>
  <c r="AP23" i="15"/>
  <c r="AZ23" i="15"/>
  <c r="D23" i="15"/>
  <c r="AS23" i="15"/>
  <c r="AY23" i="15"/>
  <c r="A23" i="15"/>
  <c r="AX23" i="15"/>
  <c r="BA23" i="15"/>
  <c r="F23" i="15"/>
  <c r="B549" i="4"/>
  <c r="H549" i="4"/>
  <c r="B24" i="15"/>
  <c r="C23" i="15"/>
  <c r="D548" i="4"/>
  <c r="E548" i="4"/>
  <c r="AG19" i="5"/>
  <c r="AI19" i="5"/>
  <c r="AK22" i="15"/>
  <c r="AJ22" i="15"/>
  <c r="AF22" i="15"/>
  <c r="AD22" i="15"/>
  <c r="AM22" i="15"/>
  <c r="AE22" i="15"/>
  <c r="AH22" i="15"/>
  <c r="AL22" i="15"/>
  <c r="AB22" i="15"/>
  <c r="C548" i="4"/>
  <c r="I549" i="4"/>
  <c r="G549" i="4"/>
  <c r="E549" i="4"/>
  <c r="F549" i="4"/>
  <c r="D549" i="4"/>
  <c r="CD19" i="5"/>
  <c r="B25" i="15"/>
  <c r="C24" i="15"/>
  <c r="BB24" i="15"/>
  <c r="AP24" i="15"/>
  <c r="AZ24" i="15"/>
  <c r="BA24" i="15"/>
  <c r="D24" i="15"/>
  <c r="AS24" i="15"/>
  <c r="AY24" i="15"/>
  <c r="A24" i="15"/>
  <c r="AX24" i="15"/>
  <c r="F24" i="15"/>
  <c r="B550" i="4"/>
  <c r="AG20" i="5"/>
  <c r="AI20" i="5"/>
  <c r="AJ23" i="15"/>
  <c r="AF23" i="15"/>
  <c r="AB23" i="15"/>
  <c r="AK23" i="15"/>
  <c r="AL23" i="15"/>
  <c r="AH23" i="15"/>
  <c r="AD23" i="15"/>
  <c r="AM23" i="15"/>
  <c r="AE23" i="15"/>
  <c r="E23" i="15"/>
  <c r="CD20" i="5"/>
  <c r="AG21" i="5"/>
  <c r="AI21" i="5"/>
  <c r="I550" i="4"/>
  <c r="D550" i="4"/>
  <c r="G550" i="4"/>
  <c r="E550" i="4"/>
  <c r="C549" i="4"/>
  <c r="F550" i="4"/>
  <c r="H550" i="4"/>
  <c r="AK24" i="15"/>
  <c r="AL24" i="15"/>
  <c r="AH24" i="15"/>
  <c r="AD24" i="15"/>
  <c r="AM24" i="15"/>
  <c r="AE24" i="15"/>
  <c r="AJ24" i="15"/>
  <c r="AF24" i="15"/>
  <c r="AB24" i="15"/>
  <c r="E24" i="15"/>
  <c r="BB25" i="15"/>
  <c r="AP25" i="15"/>
  <c r="AZ25" i="15"/>
  <c r="D25" i="15"/>
  <c r="AS25" i="15"/>
  <c r="AY25" i="15"/>
  <c r="A25" i="15"/>
  <c r="AX25" i="15"/>
  <c r="F25" i="15"/>
  <c r="B551" i="4"/>
  <c r="D551" i="4"/>
  <c r="B26" i="15"/>
  <c r="C25" i="15"/>
  <c r="CD21" i="5"/>
  <c r="E551" i="4"/>
  <c r="G551" i="4"/>
  <c r="I551" i="4"/>
  <c r="C550" i="4"/>
  <c r="AG22" i="5"/>
  <c r="AI22" i="5"/>
  <c r="BA25" i="15"/>
  <c r="AJ25" i="15"/>
  <c r="AF25" i="15"/>
  <c r="AB25" i="15"/>
  <c r="AK25" i="15"/>
  <c r="AL25" i="15"/>
  <c r="AH25" i="15"/>
  <c r="AD25" i="15"/>
  <c r="AM25" i="15"/>
  <c r="AE25" i="15"/>
  <c r="E25" i="15"/>
  <c r="H551" i="4"/>
  <c r="F551" i="4"/>
  <c r="B27" i="15"/>
  <c r="C26" i="15"/>
  <c r="BB26" i="15"/>
  <c r="AP26" i="15"/>
  <c r="AZ26" i="15"/>
  <c r="D26" i="15"/>
  <c r="AS26" i="15"/>
  <c r="AY26" i="15"/>
  <c r="A26" i="15"/>
  <c r="AX26" i="15"/>
  <c r="F26" i="15"/>
  <c r="B552" i="4"/>
  <c r="E552" i="4"/>
  <c r="BA26" i="15"/>
  <c r="CD22" i="5"/>
  <c r="C551" i="4"/>
  <c r="D552" i="4"/>
  <c r="H552" i="4"/>
  <c r="F552" i="4"/>
  <c r="E26" i="15"/>
  <c r="BB27" i="15"/>
  <c r="AP27" i="15"/>
  <c r="AZ27" i="15"/>
  <c r="D27" i="15"/>
  <c r="AS27" i="15"/>
  <c r="AY27" i="15"/>
  <c r="A27" i="15"/>
  <c r="AX27" i="15"/>
  <c r="F27" i="15"/>
  <c r="B553" i="4"/>
  <c r="B28" i="15"/>
  <c r="C27" i="15"/>
  <c r="G552" i="4"/>
  <c r="I552" i="4"/>
  <c r="AG23" i="5"/>
  <c r="AI23" i="5"/>
  <c r="AK26" i="15"/>
  <c r="AL26" i="15"/>
  <c r="AH26" i="15"/>
  <c r="AD26" i="15"/>
  <c r="AM26" i="15"/>
  <c r="AE26" i="15"/>
  <c r="AJ26" i="15"/>
  <c r="AF26" i="15"/>
  <c r="AB26" i="15"/>
  <c r="D553" i="4"/>
  <c r="E553" i="4"/>
  <c r="F553" i="4"/>
  <c r="G553" i="4"/>
  <c r="H553" i="4"/>
  <c r="I553" i="4"/>
  <c r="C552" i="4"/>
  <c r="CD23" i="5"/>
  <c r="B29" i="15"/>
  <c r="C28" i="15"/>
  <c r="BB28" i="15"/>
  <c r="AP28" i="15"/>
  <c r="AZ28" i="15"/>
  <c r="D28" i="15"/>
  <c r="AS28" i="15"/>
  <c r="AY28" i="15"/>
  <c r="H554" i="4"/>
  <c r="A28" i="15"/>
  <c r="AX28" i="15"/>
  <c r="F554" i="4"/>
  <c r="F28" i="15"/>
  <c r="B554" i="4"/>
  <c r="G554" i="4"/>
  <c r="BA27" i="15"/>
  <c r="AG24" i="5"/>
  <c r="CD24" i="5"/>
  <c r="AJ27" i="15"/>
  <c r="AF27" i="15"/>
  <c r="AB27" i="15"/>
  <c r="AK27" i="15"/>
  <c r="AL27" i="15"/>
  <c r="AH27" i="15"/>
  <c r="AD27" i="15"/>
  <c r="AM27" i="15"/>
  <c r="AE27" i="15"/>
  <c r="E27" i="15"/>
  <c r="V27" i="15"/>
  <c r="W27" i="15" s="1"/>
  <c r="AG25" i="5"/>
  <c r="CD25" i="5"/>
  <c r="E554" i="4"/>
  <c r="D554" i="4"/>
  <c r="I554" i="4"/>
  <c r="C553" i="4"/>
  <c r="BA28" i="15"/>
  <c r="AI24" i="5"/>
  <c r="AK28" i="15"/>
  <c r="AL28" i="15"/>
  <c r="AH28" i="15"/>
  <c r="AD28" i="15"/>
  <c r="AM28" i="15"/>
  <c r="AE28" i="15"/>
  <c r="AJ28" i="15"/>
  <c r="AF28" i="15"/>
  <c r="AB28" i="15"/>
  <c r="E28" i="15"/>
  <c r="BB29" i="15"/>
  <c r="AP29" i="15"/>
  <c r="AZ29" i="15"/>
  <c r="AS29" i="15"/>
  <c r="AY29" i="15"/>
  <c r="D29" i="15"/>
  <c r="C29" i="15"/>
  <c r="AX29" i="15"/>
  <c r="B30" i="15"/>
  <c r="F29" i="15"/>
  <c r="B555" i="4"/>
  <c r="F555" i="4"/>
  <c r="A29" i="15"/>
  <c r="AI25" i="5"/>
  <c r="I555" i="4"/>
  <c r="E555" i="4"/>
  <c r="C554" i="4"/>
  <c r="G555" i="4"/>
  <c r="BA29" i="15"/>
  <c r="D555" i="4"/>
  <c r="H555" i="4"/>
  <c r="AS30" i="15"/>
  <c r="AY30" i="15"/>
  <c r="A30" i="15"/>
  <c r="AX30" i="15"/>
  <c r="F30" i="15"/>
  <c r="B556" i="4"/>
  <c r="G556" i="4"/>
  <c r="B31" i="15"/>
  <c r="C30" i="15"/>
  <c r="BB30" i="15"/>
  <c r="AP30" i="15"/>
  <c r="AZ30" i="15"/>
  <c r="BA30" i="15"/>
  <c r="D30" i="15"/>
  <c r="AL29" i="15"/>
  <c r="AH29" i="15"/>
  <c r="AD29" i="15"/>
  <c r="AM29" i="15"/>
  <c r="AE29" i="15"/>
  <c r="AJ29" i="15"/>
  <c r="AF29" i="15"/>
  <c r="AB29" i="15"/>
  <c r="AK29" i="15"/>
  <c r="AG26" i="5"/>
  <c r="AI26" i="5"/>
  <c r="E29" i="15"/>
  <c r="CD26" i="5"/>
  <c r="AG27" i="5"/>
  <c r="CD27" i="5"/>
  <c r="H556" i="4"/>
  <c r="F556" i="4"/>
  <c r="C555" i="4"/>
  <c r="D556" i="4"/>
  <c r="AM30" i="15"/>
  <c r="AE30" i="15"/>
  <c r="AJ30" i="15"/>
  <c r="AF30" i="15"/>
  <c r="AB30" i="15"/>
  <c r="AK30" i="15"/>
  <c r="AL30" i="15"/>
  <c r="AH30" i="15"/>
  <c r="AD30" i="15"/>
  <c r="E556" i="4"/>
  <c r="I556" i="4"/>
  <c r="E30" i="15"/>
  <c r="AX31" i="15"/>
  <c r="F31" i="15"/>
  <c r="B557" i="4"/>
  <c r="I557" i="4"/>
  <c r="B32" i="15"/>
  <c r="C31" i="15"/>
  <c r="BB31" i="15"/>
  <c r="AP31" i="15"/>
  <c r="AZ31" i="15"/>
  <c r="D31" i="15"/>
  <c r="AS31" i="15"/>
  <c r="AY31" i="15"/>
  <c r="A31" i="15"/>
  <c r="AI27" i="5"/>
  <c r="E557" i="4"/>
  <c r="C556" i="4"/>
  <c r="H557" i="4"/>
  <c r="F557" i="4"/>
  <c r="D557" i="4"/>
  <c r="G557" i="4"/>
  <c r="BA31" i="15"/>
  <c r="E31" i="15"/>
  <c r="AS32" i="15"/>
  <c r="AY32" i="15"/>
  <c r="A32" i="15"/>
  <c r="AX32" i="15"/>
  <c r="F32" i="15"/>
  <c r="B558" i="4"/>
  <c r="I558" i="4"/>
  <c r="B33" i="15"/>
  <c r="AG29" i="5"/>
  <c r="AI29" i="5"/>
  <c r="C32" i="15"/>
  <c r="BB32" i="15"/>
  <c r="AP32" i="15"/>
  <c r="AZ32" i="15"/>
  <c r="D32" i="15"/>
  <c r="AG28" i="5"/>
  <c r="AI28" i="5"/>
  <c r="AL31" i="15"/>
  <c r="AH31" i="15"/>
  <c r="AD31" i="15"/>
  <c r="AM31" i="15"/>
  <c r="AE31" i="15"/>
  <c r="AJ31" i="15"/>
  <c r="AF31" i="15"/>
  <c r="AB31" i="15"/>
  <c r="AK31" i="15"/>
  <c r="F558" i="4"/>
  <c r="C557" i="4"/>
  <c r="CD28" i="5"/>
  <c r="BA32" i="15"/>
  <c r="H558" i="4"/>
  <c r="D558" i="4"/>
  <c r="AK32" i="15"/>
  <c r="AL32" i="15"/>
  <c r="AH32" i="15"/>
  <c r="AD32" i="15"/>
  <c r="AM32" i="15"/>
  <c r="AE32" i="15"/>
  <c r="AJ32" i="15"/>
  <c r="AF32" i="15"/>
  <c r="AB32" i="15"/>
  <c r="G558" i="4"/>
  <c r="E558" i="4"/>
  <c r="E32" i="15"/>
  <c r="BB33" i="15"/>
  <c r="AP33" i="15"/>
  <c r="AZ33" i="15"/>
  <c r="D33" i="15"/>
  <c r="AS33" i="15"/>
  <c r="AY33" i="15"/>
  <c r="A33" i="15"/>
  <c r="AX33" i="15"/>
  <c r="F33" i="15"/>
  <c r="B559" i="4"/>
  <c r="E559" i="4"/>
  <c r="B34" i="15"/>
  <c r="AG30" i="5"/>
  <c r="AI30" i="5"/>
  <c r="C33" i="15"/>
  <c r="BA33" i="15"/>
  <c r="CD29" i="5"/>
  <c r="C558" i="4"/>
  <c r="H559" i="4"/>
  <c r="G559" i="4"/>
  <c r="D559" i="4"/>
  <c r="AL33" i="15"/>
  <c r="AH33" i="15"/>
  <c r="AD33" i="15"/>
  <c r="AM33" i="15"/>
  <c r="AE33" i="15"/>
  <c r="AJ33" i="15"/>
  <c r="AF33" i="15"/>
  <c r="AB33" i="15"/>
  <c r="AK33" i="15"/>
  <c r="E33" i="15"/>
  <c r="F559" i="4"/>
  <c r="I559" i="4"/>
  <c r="AS34" i="15"/>
  <c r="AY34" i="15"/>
  <c r="H560" i="4"/>
  <c r="A34" i="15"/>
  <c r="AX34" i="15"/>
  <c r="F34" i="15"/>
  <c r="B560" i="4"/>
  <c r="E560" i="4"/>
  <c r="B35" i="15"/>
  <c r="C34" i="15"/>
  <c r="BB34" i="15"/>
  <c r="AP34" i="15"/>
  <c r="AZ34" i="15"/>
  <c r="D34" i="15"/>
  <c r="CD30" i="5"/>
  <c r="D560" i="4"/>
  <c r="F560" i="4"/>
  <c r="C559" i="4"/>
  <c r="I560" i="4"/>
  <c r="G560" i="4"/>
  <c r="BA34" i="15"/>
  <c r="E34" i="15"/>
  <c r="AX35" i="15"/>
  <c r="B36" i="15"/>
  <c r="AS35" i="15"/>
  <c r="AY35" i="15"/>
  <c r="D35" i="15"/>
  <c r="A35" i="15"/>
  <c r="BB35" i="15"/>
  <c r="AP35" i="15"/>
  <c r="AZ35" i="15"/>
  <c r="F35" i="15"/>
  <c r="B561" i="4"/>
  <c r="E561" i="4"/>
  <c r="C35" i="15"/>
  <c r="AG31" i="5"/>
  <c r="AI31" i="5"/>
  <c r="AM34" i="15"/>
  <c r="AE34" i="15"/>
  <c r="AJ34" i="15"/>
  <c r="AF34" i="15"/>
  <c r="AB34" i="15"/>
  <c r="AK34" i="15"/>
  <c r="AL34" i="15"/>
  <c r="AH34" i="15"/>
  <c r="AD34" i="15"/>
  <c r="C560" i="4"/>
  <c r="I561" i="4"/>
  <c r="D561" i="4"/>
  <c r="BA35" i="15"/>
  <c r="F561" i="4"/>
  <c r="H561" i="4"/>
  <c r="G561" i="4"/>
  <c r="CD31" i="5"/>
  <c r="AJ35" i="15"/>
  <c r="AF35" i="15"/>
  <c r="AB35" i="15"/>
  <c r="AE35" i="15"/>
  <c r="AL35" i="15"/>
  <c r="AH35" i="15"/>
  <c r="AD35" i="15"/>
  <c r="AM35" i="15"/>
  <c r="AK35" i="15"/>
  <c r="E35" i="15"/>
  <c r="B37" i="15"/>
  <c r="K42" i="15"/>
  <c r="C36" i="15"/>
  <c r="BB36" i="15"/>
  <c r="AP36" i="15"/>
  <c r="AZ36" i="15"/>
  <c r="D36" i="15"/>
  <c r="AS36" i="15"/>
  <c r="AY36" i="15"/>
  <c r="A36" i="15"/>
  <c r="AX36" i="15"/>
  <c r="F36" i="15"/>
  <c r="B562" i="4"/>
  <c r="E562" i="4"/>
  <c r="AG32" i="5"/>
  <c r="AI32" i="5"/>
  <c r="C561" i="4"/>
  <c r="AG33" i="5"/>
  <c r="G562" i="4"/>
  <c r="CD32" i="5"/>
  <c r="D562" i="4"/>
  <c r="F562" i="4"/>
  <c r="E36" i="15"/>
  <c r="B8" i="16"/>
  <c r="AX37" i="15"/>
  <c r="F37" i="15"/>
  <c r="B563" i="4"/>
  <c r="G563" i="4"/>
  <c r="AS37" i="15"/>
  <c r="AY37" i="15"/>
  <c r="A37" i="15"/>
  <c r="BB37" i="15"/>
  <c r="AP37" i="15"/>
  <c r="AZ37" i="15"/>
  <c r="D37" i="15"/>
  <c r="C37" i="15"/>
  <c r="I562" i="4"/>
  <c r="H562" i="4"/>
  <c r="BA36" i="15"/>
  <c r="AM36" i="15"/>
  <c r="AE36" i="15"/>
  <c r="AJ36" i="15"/>
  <c r="AF36" i="15"/>
  <c r="AB36" i="15"/>
  <c r="AK36" i="15"/>
  <c r="AL36" i="15"/>
  <c r="AH36" i="15"/>
  <c r="AD36" i="15"/>
  <c r="H563" i="4"/>
  <c r="D563" i="4"/>
  <c r="AI33" i="5"/>
  <c r="CD33" i="5"/>
  <c r="AJ4" i="5"/>
  <c r="C562" i="4"/>
  <c r="F563" i="4"/>
  <c r="F565" i="4"/>
  <c r="AL37" i="15"/>
  <c r="AL40" i="15"/>
  <c r="AL41" i="15"/>
  <c r="AL39" i="16"/>
  <c r="AH37" i="15"/>
  <c r="AH40" i="15"/>
  <c r="AH41" i="15"/>
  <c r="AH39" i="16"/>
  <c r="AD37" i="15"/>
  <c r="AD40" i="15"/>
  <c r="AD41" i="15"/>
  <c r="AD39" i="16"/>
  <c r="AM37" i="15"/>
  <c r="AM40" i="15"/>
  <c r="AM41" i="15"/>
  <c r="AM39" i="16"/>
  <c r="AE37" i="15"/>
  <c r="AE40" i="15"/>
  <c r="AE41" i="15"/>
  <c r="AE39" i="16"/>
  <c r="AJ37" i="15"/>
  <c r="AJ40" i="15"/>
  <c r="AJ41" i="15"/>
  <c r="AJ39" i="16"/>
  <c r="AF37" i="15"/>
  <c r="AF40" i="15"/>
  <c r="AF41" i="15"/>
  <c r="AF39" i="16"/>
  <c r="AB37" i="15"/>
  <c r="AB40" i="15"/>
  <c r="AK37" i="15"/>
  <c r="AK40" i="15"/>
  <c r="AK41" i="15"/>
  <c r="AK39" i="16"/>
  <c r="E4" i="16"/>
  <c r="BB8" i="16"/>
  <c r="F8" i="16"/>
  <c r="B586" i="4"/>
  <c r="D586" i="4"/>
  <c r="B9" i="16"/>
  <c r="C8" i="16"/>
  <c r="AX8" i="16"/>
  <c r="D8" i="16"/>
  <c r="AS8" i="16"/>
  <c r="AY8" i="16"/>
  <c r="A8" i="16"/>
  <c r="AP8" i="16"/>
  <c r="AZ8" i="16"/>
  <c r="E563" i="4"/>
  <c r="E565" i="4"/>
  <c r="I563" i="4"/>
  <c r="E37" i="15"/>
  <c r="BA37" i="15"/>
  <c r="AL4" i="5"/>
  <c r="G565" i="4"/>
  <c r="C563" i="4"/>
  <c r="H565" i="4"/>
  <c r="CH4" i="5"/>
  <c r="E586" i="4"/>
  <c r="I586" i="4"/>
  <c r="G586" i="4"/>
  <c r="E8" i="16"/>
  <c r="AL8" i="16"/>
  <c r="AH8" i="16"/>
  <c r="AD8" i="16"/>
  <c r="AM8" i="16"/>
  <c r="AE8" i="16"/>
  <c r="AF8" i="16"/>
  <c r="AK8" i="16"/>
  <c r="AJ8" i="16"/>
  <c r="AB8" i="16"/>
  <c r="AB41" i="15"/>
  <c r="K40" i="15"/>
  <c r="F586" i="4"/>
  <c r="H586" i="4"/>
  <c r="BA8" i="16"/>
  <c r="AS9" i="16"/>
  <c r="AY9" i="16"/>
  <c r="A9" i="16"/>
  <c r="AX9" i="16"/>
  <c r="F9" i="16"/>
  <c r="B587" i="4"/>
  <c r="D587" i="4"/>
  <c r="B10" i="16"/>
  <c r="BB9" i="16"/>
  <c r="D9" i="16"/>
  <c r="C9" i="16"/>
  <c r="AP9" i="16"/>
  <c r="AZ9" i="16"/>
  <c r="AJ5" i="5"/>
  <c r="D580" i="4"/>
  <c r="C586" i="4"/>
  <c r="BA9" i="16"/>
  <c r="F587" i="4"/>
  <c r="K41" i="15"/>
  <c r="AB39" i="16"/>
  <c r="K39" i="16"/>
  <c r="I587" i="4"/>
  <c r="E587" i="4"/>
  <c r="CH5" i="5"/>
  <c r="AL5" i="5"/>
  <c r="AM9" i="16"/>
  <c r="AE9" i="16"/>
  <c r="AJ9" i="16"/>
  <c r="AF9" i="16"/>
  <c r="AB9" i="16"/>
  <c r="AK9" i="16"/>
  <c r="AL9" i="16"/>
  <c r="AH9" i="16"/>
  <c r="AD9" i="16"/>
  <c r="H587" i="4"/>
  <c r="G587" i="4"/>
  <c r="E9" i="16"/>
  <c r="AX10" i="16"/>
  <c r="F10" i="16"/>
  <c r="B588" i="4"/>
  <c r="E588" i="4"/>
  <c r="B11" i="16"/>
  <c r="C10" i="16"/>
  <c r="BB10" i="16"/>
  <c r="AP10" i="16"/>
  <c r="AZ10" i="16"/>
  <c r="D10" i="16"/>
  <c r="AS10" i="16"/>
  <c r="AY10" i="16"/>
  <c r="A10" i="16"/>
  <c r="AJ6" i="5"/>
  <c r="D588" i="4"/>
  <c r="H588" i="4"/>
  <c r="C587" i="4"/>
  <c r="F588" i="4"/>
  <c r="I588" i="4"/>
  <c r="G588" i="4"/>
  <c r="BA10" i="16"/>
  <c r="E10" i="16"/>
  <c r="B12" i="16"/>
  <c r="C11" i="16"/>
  <c r="BB11" i="16"/>
  <c r="AP11" i="16"/>
  <c r="AZ11" i="16"/>
  <c r="D11" i="16"/>
  <c r="AS11" i="16"/>
  <c r="AY11" i="16"/>
  <c r="A11" i="16"/>
  <c r="AX11" i="16"/>
  <c r="F11" i="16"/>
  <c r="B589" i="4"/>
  <c r="E589" i="4"/>
  <c r="AJ7" i="5"/>
  <c r="CH6" i="5"/>
  <c r="AL6" i="5"/>
  <c r="AJ10" i="16"/>
  <c r="AF10" i="16"/>
  <c r="AB10" i="16"/>
  <c r="AK10" i="16"/>
  <c r="AL10" i="16"/>
  <c r="AH10" i="16"/>
  <c r="AD10" i="16"/>
  <c r="AM10" i="16"/>
  <c r="AE10" i="16"/>
  <c r="F589" i="4"/>
  <c r="C588" i="4"/>
  <c r="G589" i="4"/>
  <c r="D589" i="4"/>
  <c r="BA11" i="16"/>
  <c r="AL7" i="5"/>
  <c r="CH7" i="5"/>
  <c r="E11" i="16"/>
  <c r="AX12" i="16"/>
  <c r="F12" i="16"/>
  <c r="B590" i="4"/>
  <c r="D590" i="4"/>
  <c r="B13" i="16"/>
  <c r="C12" i="16"/>
  <c r="BB12" i="16"/>
  <c r="AP12" i="16"/>
  <c r="AZ12" i="16"/>
  <c r="D12" i="16"/>
  <c r="AS12" i="16"/>
  <c r="AY12" i="16"/>
  <c r="A12" i="16"/>
  <c r="AJ8" i="5"/>
  <c r="H589" i="4"/>
  <c r="I589" i="4"/>
  <c r="AM11" i="16"/>
  <c r="AE11" i="16"/>
  <c r="AJ11" i="16"/>
  <c r="AF11" i="16"/>
  <c r="AB11" i="16"/>
  <c r="AK11" i="16"/>
  <c r="AL11" i="16"/>
  <c r="AH11" i="16"/>
  <c r="AD11" i="16"/>
  <c r="H590" i="4"/>
  <c r="C589" i="4"/>
  <c r="E590" i="4"/>
  <c r="I590" i="4"/>
  <c r="G590" i="4"/>
  <c r="BA12" i="16"/>
  <c r="E12" i="16"/>
  <c r="AX13" i="16"/>
  <c r="C13" i="16"/>
  <c r="B14" i="16"/>
  <c r="F13" i="16"/>
  <c r="B591" i="4"/>
  <c r="E591" i="4"/>
  <c r="BB13" i="16"/>
  <c r="AP13" i="16"/>
  <c r="AZ13" i="16"/>
  <c r="A13" i="16"/>
  <c r="AS13" i="16"/>
  <c r="AY13" i="16"/>
  <c r="D13" i="16"/>
  <c r="AJ9" i="5"/>
  <c r="F590" i="4"/>
  <c r="AL8" i="5"/>
  <c r="CH8" i="5"/>
  <c r="AL12" i="16"/>
  <c r="AH12" i="16"/>
  <c r="AD12" i="16"/>
  <c r="AM12" i="16"/>
  <c r="AE12" i="16"/>
  <c r="AJ12" i="16"/>
  <c r="AF12" i="16"/>
  <c r="AB12" i="16"/>
  <c r="AK12" i="16"/>
  <c r="C590" i="4"/>
  <c r="H591" i="4"/>
  <c r="I591" i="4"/>
  <c r="F591" i="4"/>
  <c r="BA13" i="16"/>
  <c r="AL13" i="16"/>
  <c r="AM13" i="16"/>
  <c r="AK13" i="16"/>
  <c r="AF13" i="16"/>
  <c r="AB13" i="16"/>
  <c r="AJ13" i="16"/>
  <c r="AE13" i="16"/>
  <c r="AH13" i="16"/>
  <c r="AD13" i="16"/>
  <c r="D591" i="4"/>
  <c r="G591" i="4"/>
  <c r="CH9" i="5"/>
  <c r="AL9" i="5"/>
  <c r="E13" i="16"/>
  <c r="AS14" i="16"/>
  <c r="AY14" i="16"/>
  <c r="A14" i="16"/>
  <c r="BB14" i="16"/>
  <c r="AP14" i="16"/>
  <c r="AZ14" i="16"/>
  <c r="B15" i="16"/>
  <c r="C14" i="16"/>
  <c r="D14" i="16"/>
  <c r="AX14" i="16"/>
  <c r="F14" i="16"/>
  <c r="B592" i="4"/>
  <c r="H592" i="4"/>
  <c r="AJ10" i="5"/>
  <c r="C591" i="4"/>
  <c r="I592" i="4"/>
  <c r="F592" i="4"/>
  <c r="G592" i="4"/>
  <c r="BA14" i="16"/>
  <c r="CH10" i="5"/>
  <c r="AL10" i="5"/>
  <c r="E14" i="16"/>
  <c r="AX15" i="16"/>
  <c r="F15" i="16"/>
  <c r="B593" i="4"/>
  <c r="C15" i="16"/>
  <c r="AS15" i="16"/>
  <c r="AY15" i="16"/>
  <c r="BB15" i="16"/>
  <c r="AP15" i="16"/>
  <c r="AZ15" i="16"/>
  <c r="D15" i="16"/>
  <c r="B16" i="16"/>
  <c r="A15" i="16"/>
  <c r="AJ11" i="5"/>
  <c r="D592" i="4"/>
  <c r="E592" i="4"/>
  <c r="AM14" i="16"/>
  <c r="AE14" i="16"/>
  <c r="AD14" i="16"/>
  <c r="AJ14" i="16"/>
  <c r="AF14" i="16"/>
  <c r="AK14" i="16"/>
  <c r="AL14" i="16"/>
  <c r="AB14" i="16"/>
  <c r="AH14" i="16"/>
  <c r="I593" i="4"/>
  <c r="D593" i="4"/>
  <c r="F593" i="4"/>
  <c r="H593" i="4"/>
  <c r="C592" i="4"/>
  <c r="BA15" i="16"/>
  <c r="B17" i="16"/>
  <c r="C16" i="16"/>
  <c r="D16" i="16"/>
  <c r="AX16" i="16"/>
  <c r="F16" i="16"/>
  <c r="B594" i="4"/>
  <c r="D594" i="4"/>
  <c r="AS16" i="16"/>
  <c r="AY16" i="16"/>
  <c r="A16" i="16"/>
  <c r="BB16" i="16"/>
  <c r="AP16" i="16"/>
  <c r="AZ16" i="16"/>
  <c r="AJ12" i="5"/>
  <c r="G593" i="4"/>
  <c r="E593" i="4"/>
  <c r="CH11" i="5"/>
  <c r="AL11" i="5"/>
  <c r="E15" i="16"/>
  <c r="AJ15" i="16"/>
  <c r="AF15" i="16"/>
  <c r="AB15" i="16"/>
  <c r="AE15" i="16"/>
  <c r="AL15" i="16"/>
  <c r="AH15" i="16"/>
  <c r="AD15" i="16"/>
  <c r="AM15" i="16"/>
  <c r="AK15" i="16"/>
  <c r="C593" i="4"/>
  <c r="H594" i="4"/>
  <c r="F594" i="4"/>
  <c r="I594" i="4"/>
  <c r="G594" i="4"/>
  <c r="E594" i="4"/>
  <c r="AL12" i="5"/>
  <c r="CH12" i="5"/>
  <c r="BA16" i="16"/>
  <c r="AM16" i="16"/>
  <c r="AE16" i="16"/>
  <c r="AD16" i="16"/>
  <c r="AJ16" i="16"/>
  <c r="AF16" i="16"/>
  <c r="AK16" i="16"/>
  <c r="AL16" i="16"/>
  <c r="AB16" i="16"/>
  <c r="AH16" i="16"/>
  <c r="E16" i="16"/>
  <c r="AX17" i="16"/>
  <c r="F17" i="16"/>
  <c r="B595" i="4"/>
  <c r="D595" i="4"/>
  <c r="C17" i="16"/>
  <c r="AS17" i="16"/>
  <c r="AY17" i="16"/>
  <c r="BB17" i="16"/>
  <c r="AP17" i="16"/>
  <c r="AZ17" i="16"/>
  <c r="D17" i="16"/>
  <c r="B18" i="16"/>
  <c r="A17" i="16"/>
  <c r="AJ13" i="5"/>
  <c r="C594" i="4"/>
  <c r="H595" i="4"/>
  <c r="E595" i="4"/>
  <c r="I595" i="4"/>
  <c r="G595" i="4"/>
  <c r="F595" i="4"/>
  <c r="E17" i="16"/>
  <c r="AJ17" i="16"/>
  <c r="AF17" i="16"/>
  <c r="AB17" i="16"/>
  <c r="AE17" i="16"/>
  <c r="AL17" i="16"/>
  <c r="AH17" i="16"/>
  <c r="AD17" i="16"/>
  <c r="AM17" i="16"/>
  <c r="AK17" i="16"/>
  <c r="CH13" i="5"/>
  <c r="AL13" i="5"/>
  <c r="AS18" i="16"/>
  <c r="AY18" i="16"/>
  <c r="A18" i="16"/>
  <c r="BB18" i="16"/>
  <c r="AP18" i="16"/>
  <c r="AZ18" i="16"/>
  <c r="B19" i="16"/>
  <c r="C18" i="16"/>
  <c r="D18" i="16"/>
  <c r="AX18" i="16"/>
  <c r="F18" i="16"/>
  <c r="B596" i="4"/>
  <c r="E596" i="4"/>
  <c r="AJ14" i="5"/>
  <c r="BA17" i="16"/>
  <c r="D596" i="4"/>
  <c r="G596" i="4"/>
  <c r="H596" i="4"/>
  <c r="C595" i="4"/>
  <c r="I596" i="4"/>
  <c r="F596" i="4"/>
  <c r="CH14" i="5"/>
  <c r="AL14" i="5"/>
  <c r="BA18" i="16"/>
  <c r="AK18" i="16"/>
  <c r="AL18" i="16"/>
  <c r="AB18" i="16"/>
  <c r="AH18" i="16"/>
  <c r="AM18" i="16"/>
  <c r="AE18" i="16"/>
  <c r="AD18" i="16"/>
  <c r="AJ18" i="16"/>
  <c r="AF18" i="16"/>
  <c r="E18" i="16"/>
  <c r="BB19" i="16"/>
  <c r="AP19" i="16"/>
  <c r="AZ19" i="16"/>
  <c r="D19" i="16"/>
  <c r="B20" i="16"/>
  <c r="A19" i="16"/>
  <c r="AX19" i="16"/>
  <c r="F19" i="16"/>
  <c r="B597" i="4"/>
  <c r="E597" i="4"/>
  <c r="C19" i="16"/>
  <c r="AS19" i="16"/>
  <c r="AY19" i="16"/>
  <c r="AJ15" i="5"/>
  <c r="G597" i="4"/>
  <c r="C596" i="4"/>
  <c r="BA19" i="16"/>
  <c r="D597" i="4"/>
  <c r="I597" i="4"/>
  <c r="H597" i="4"/>
  <c r="F597" i="4"/>
  <c r="AJ19" i="16"/>
  <c r="AF19" i="16"/>
  <c r="AB19" i="16"/>
  <c r="AE19" i="16"/>
  <c r="AL19" i="16"/>
  <c r="AH19" i="16"/>
  <c r="AD19" i="16"/>
  <c r="AM19" i="16"/>
  <c r="AK19" i="16"/>
  <c r="B21" i="16"/>
  <c r="C20" i="16"/>
  <c r="D20" i="16"/>
  <c r="AX20" i="16"/>
  <c r="F20" i="16"/>
  <c r="B598" i="4"/>
  <c r="G598" i="4"/>
  <c r="AS20" i="16"/>
  <c r="AY20" i="16"/>
  <c r="A20" i="16"/>
  <c r="BB20" i="16"/>
  <c r="AP20" i="16"/>
  <c r="AZ20" i="16"/>
  <c r="AJ16" i="5"/>
  <c r="CH15" i="5"/>
  <c r="AL15" i="5"/>
  <c r="E19" i="16"/>
  <c r="H598" i="4"/>
  <c r="D598" i="4"/>
  <c r="C597" i="4"/>
  <c r="F598" i="4"/>
  <c r="E598" i="4"/>
  <c r="I598" i="4"/>
  <c r="E20" i="16"/>
  <c r="AX21" i="16"/>
  <c r="F21" i="16"/>
  <c r="B599" i="4"/>
  <c r="G599" i="4"/>
  <c r="C21" i="16"/>
  <c r="AS21" i="16"/>
  <c r="AY21" i="16"/>
  <c r="BB21" i="16"/>
  <c r="AP21" i="16"/>
  <c r="AZ21" i="16"/>
  <c r="D21" i="16"/>
  <c r="B22" i="16"/>
  <c r="A21" i="16"/>
  <c r="AJ17" i="5"/>
  <c r="CH16" i="5"/>
  <c r="AL16" i="5"/>
  <c r="BA20" i="16"/>
  <c r="AM20" i="16"/>
  <c r="AE20" i="16"/>
  <c r="AD20" i="16"/>
  <c r="AJ20" i="16"/>
  <c r="AF20" i="16"/>
  <c r="AK20" i="16"/>
  <c r="AL20" i="16"/>
  <c r="AB20" i="16"/>
  <c r="AH20" i="16"/>
  <c r="C598" i="4"/>
  <c r="D599" i="4"/>
  <c r="E599" i="4"/>
  <c r="H599" i="4"/>
  <c r="F599" i="4"/>
  <c r="I599" i="4"/>
  <c r="BA21" i="16"/>
  <c r="CH17" i="5"/>
  <c r="AL17" i="5"/>
  <c r="B23" i="16"/>
  <c r="C22" i="16"/>
  <c r="D22" i="16"/>
  <c r="AX22" i="16"/>
  <c r="F22" i="16"/>
  <c r="B600" i="4"/>
  <c r="I600" i="4"/>
  <c r="AS22" i="16"/>
  <c r="AY22" i="16"/>
  <c r="A22" i="16"/>
  <c r="BB22" i="16"/>
  <c r="AP22" i="16"/>
  <c r="AZ22" i="16"/>
  <c r="AJ18" i="5"/>
  <c r="E21" i="16"/>
  <c r="AJ21" i="16"/>
  <c r="AF21" i="16"/>
  <c r="AB21" i="16"/>
  <c r="AE21" i="16"/>
  <c r="AL21" i="16"/>
  <c r="AH21" i="16"/>
  <c r="AD21" i="16"/>
  <c r="AM21" i="16"/>
  <c r="AK21" i="16"/>
  <c r="H600" i="4"/>
  <c r="F600" i="4"/>
  <c r="C599" i="4"/>
  <c r="D600" i="4"/>
  <c r="G600" i="4"/>
  <c r="E600" i="4"/>
  <c r="E22" i="16"/>
  <c r="BB23" i="16"/>
  <c r="AP23" i="16"/>
  <c r="AZ23" i="16"/>
  <c r="D23" i="16"/>
  <c r="B24" i="16"/>
  <c r="A23" i="16"/>
  <c r="AX23" i="16"/>
  <c r="F23" i="16"/>
  <c r="B601" i="4"/>
  <c r="D601" i="4"/>
  <c r="C23" i="16"/>
  <c r="AS23" i="16"/>
  <c r="AY23" i="16"/>
  <c r="AJ19" i="5"/>
  <c r="CH18" i="5"/>
  <c r="AL18" i="5"/>
  <c r="BA22" i="16"/>
  <c r="AK22" i="16"/>
  <c r="AL22" i="16"/>
  <c r="AB22" i="16"/>
  <c r="AH22" i="16"/>
  <c r="AM22" i="16"/>
  <c r="AE22" i="16"/>
  <c r="AD22" i="16"/>
  <c r="AJ22" i="16"/>
  <c r="AF22" i="16"/>
  <c r="C600" i="4"/>
  <c r="F601" i="4"/>
  <c r="G601" i="4"/>
  <c r="I601" i="4"/>
  <c r="BA23" i="16"/>
  <c r="E601" i="4"/>
  <c r="H601" i="4"/>
  <c r="AJ23" i="16"/>
  <c r="AF23" i="16"/>
  <c r="AB23" i="16"/>
  <c r="AE23" i="16"/>
  <c r="AL23" i="16"/>
  <c r="AH23" i="16"/>
  <c r="AD23" i="16"/>
  <c r="AM23" i="16"/>
  <c r="AK23" i="16"/>
  <c r="B25" i="16"/>
  <c r="C24" i="16"/>
  <c r="D24" i="16"/>
  <c r="AX24" i="16"/>
  <c r="F24" i="16"/>
  <c r="B602" i="4"/>
  <c r="D602" i="4"/>
  <c r="AS24" i="16"/>
  <c r="AY24" i="16"/>
  <c r="A24" i="16"/>
  <c r="BB24" i="16"/>
  <c r="AP24" i="16"/>
  <c r="AZ24" i="16"/>
  <c r="AJ20" i="5"/>
  <c r="CH19" i="5"/>
  <c r="AL19" i="5"/>
  <c r="E23" i="16"/>
  <c r="E602" i="4"/>
  <c r="G602" i="4"/>
  <c r="I602" i="4"/>
  <c r="C601" i="4"/>
  <c r="H602" i="4"/>
  <c r="F602" i="4"/>
  <c r="E24" i="16"/>
  <c r="AX25" i="16"/>
  <c r="F25" i="16"/>
  <c r="B603" i="4"/>
  <c r="D603" i="4"/>
  <c r="C25" i="16"/>
  <c r="AS25" i="16"/>
  <c r="AY25" i="16"/>
  <c r="BB25" i="16"/>
  <c r="AP25" i="16"/>
  <c r="AZ25" i="16"/>
  <c r="D25" i="16"/>
  <c r="B26" i="16"/>
  <c r="A25" i="16"/>
  <c r="AJ21" i="5"/>
  <c r="CH20" i="5"/>
  <c r="AL20" i="5"/>
  <c r="BA24" i="16"/>
  <c r="AM24" i="16"/>
  <c r="AE24" i="16"/>
  <c r="AD24" i="16"/>
  <c r="AJ24" i="16"/>
  <c r="AF24" i="16"/>
  <c r="AK24" i="16"/>
  <c r="AL24" i="16"/>
  <c r="AB24" i="16"/>
  <c r="AH24" i="16"/>
  <c r="E603" i="4"/>
  <c r="I603" i="4"/>
  <c r="G603" i="4"/>
  <c r="C602" i="4"/>
  <c r="H603" i="4"/>
  <c r="F603" i="4"/>
  <c r="E25" i="16"/>
  <c r="AJ25" i="16"/>
  <c r="AF25" i="16"/>
  <c r="AB25" i="16"/>
  <c r="AE25" i="16"/>
  <c r="AL25" i="16"/>
  <c r="AH25" i="16"/>
  <c r="AD25" i="16"/>
  <c r="AM25" i="16"/>
  <c r="AK25" i="16"/>
  <c r="CH21" i="5"/>
  <c r="AL21" i="5"/>
  <c r="B27" i="16"/>
  <c r="C26" i="16"/>
  <c r="D26" i="16"/>
  <c r="AX26" i="16"/>
  <c r="F26" i="16"/>
  <c r="B604" i="4"/>
  <c r="E604" i="4"/>
  <c r="AS26" i="16"/>
  <c r="AY26" i="16"/>
  <c r="A26" i="16"/>
  <c r="BB26" i="16"/>
  <c r="AP26" i="16"/>
  <c r="AZ26" i="16"/>
  <c r="AJ22" i="5"/>
  <c r="BA25" i="16"/>
  <c r="D604" i="4"/>
  <c r="C603" i="4"/>
  <c r="G604" i="4"/>
  <c r="I604" i="4"/>
  <c r="H604" i="4"/>
  <c r="F604" i="4"/>
  <c r="BA26" i="16"/>
  <c r="AM26" i="16"/>
  <c r="AE26" i="16"/>
  <c r="AD26" i="16"/>
  <c r="AJ26" i="16"/>
  <c r="AF26" i="16"/>
  <c r="AK26" i="16"/>
  <c r="AL26" i="16"/>
  <c r="AB26" i="16"/>
  <c r="AH26" i="16"/>
  <c r="CH22" i="5"/>
  <c r="AL22" i="5"/>
  <c r="E26" i="16"/>
  <c r="AX27" i="16"/>
  <c r="F27" i="16"/>
  <c r="B605" i="4"/>
  <c r="E605" i="4"/>
  <c r="C27" i="16"/>
  <c r="AS27" i="16"/>
  <c r="AY27" i="16"/>
  <c r="BB27" i="16"/>
  <c r="AP27" i="16"/>
  <c r="AZ27" i="16"/>
  <c r="D27" i="16"/>
  <c r="B28" i="16"/>
  <c r="A27" i="16"/>
  <c r="AJ23" i="5"/>
  <c r="G605" i="4"/>
  <c r="C604" i="4"/>
  <c r="D605" i="4"/>
  <c r="BA27" i="16"/>
  <c r="F605" i="4"/>
  <c r="I605" i="4"/>
  <c r="H605" i="4"/>
  <c r="CH23" i="5"/>
  <c r="AL23" i="5"/>
  <c r="BB28" i="16"/>
  <c r="AP28" i="16"/>
  <c r="AZ28" i="16"/>
  <c r="A28" i="16"/>
  <c r="D28" i="16"/>
  <c r="F28" i="16"/>
  <c r="B606" i="4"/>
  <c r="G606" i="4"/>
  <c r="AX28" i="16"/>
  <c r="C28" i="16"/>
  <c r="AS28" i="16"/>
  <c r="AY28" i="16"/>
  <c r="B29" i="16"/>
  <c r="AJ24" i="5"/>
  <c r="E27" i="16"/>
  <c r="AJ27" i="16"/>
  <c r="AF27" i="16"/>
  <c r="AB27" i="16"/>
  <c r="AE27" i="16"/>
  <c r="AL27" i="16"/>
  <c r="AH27" i="16"/>
  <c r="AD27" i="16"/>
  <c r="AM27" i="16"/>
  <c r="AK27" i="16"/>
  <c r="C605" i="4"/>
  <c r="D606" i="4"/>
  <c r="F606" i="4"/>
  <c r="H606" i="4"/>
  <c r="E606" i="4"/>
  <c r="I606" i="4"/>
  <c r="AL24" i="5"/>
  <c r="CH24" i="5"/>
  <c r="E28" i="16"/>
  <c r="BA28" i="16"/>
  <c r="B30" i="16"/>
  <c r="C29" i="16"/>
  <c r="D29" i="16"/>
  <c r="F29" i="16"/>
  <c r="B607" i="4"/>
  <c r="AP29" i="16"/>
  <c r="AZ29" i="16"/>
  <c r="AS29" i="16"/>
  <c r="AY29" i="16"/>
  <c r="H607" i="4"/>
  <c r="A29" i="16"/>
  <c r="AX29" i="16"/>
  <c r="BB29" i="16"/>
  <c r="AJ25" i="5"/>
  <c r="AJ28" i="16"/>
  <c r="AF28" i="16"/>
  <c r="AB28" i="16"/>
  <c r="AE28" i="16"/>
  <c r="AL28" i="16"/>
  <c r="AH28" i="16"/>
  <c r="AD28" i="16"/>
  <c r="AM28" i="16"/>
  <c r="AK28" i="16"/>
  <c r="G607" i="4"/>
  <c r="I607" i="4"/>
  <c r="D607" i="4"/>
  <c r="E607" i="4"/>
  <c r="F607" i="4"/>
  <c r="C606" i="4"/>
  <c r="BA29" i="16"/>
  <c r="AK29" i="16"/>
  <c r="AL29" i="16"/>
  <c r="AB29" i="16"/>
  <c r="AH29" i="16"/>
  <c r="AM29" i="16"/>
  <c r="AE29" i="16"/>
  <c r="AD29" i="16"/>
  <c r="AJ29" i="16"/>
  <c r="AF29" i="16"/>
  <c r="CH25" i="5"/>
  <c r="AL25" i="5"/>
  <c r="E29" i="16"/>
  <c r="BB30" i="16"/>
  <c r="AP30" i="16"/>
  <c r="AZ30" i="16"/>
  <c r="D30" i="16"/>
  <c r="AS30" i="16"/>
  <c r="AY30" i="16"/>
  <c r="B31" i="16"/>
  <c r="AX30" i="16"/>
  <c r="F30" i="16"/>
  <c r="B608" i="4"/>
  <c r="G608" i="4"/>
  <c r="C30" i="16"/>
  <c r="A30" i="16"/>
  <c r="AJ26" i="5"/>
  <c r="I608" i="4"/>
  <c r="F608" i="4"/>
  <c r="E608" i="4"/>
  <c r="C607" i="4"/>
  <c r="H608" i="4"/>
  <c r="D608" i="4"/>
  <c r="BA30" i="16"/>
  <c r="AL30" i="16"/>
  <c r="AH30" i="16"/>
  <c r="AD30" i="16"/>
  <c r="AM30" i="16"/>
  <c r="AK30" i="16"/>
  <c r="AJ30" i="16"/>
  <c r="AF30" i="16"/>
  <c r="AB30" i="16"/>
  <c r="AE30" i="16"/>
  <c r="CH26" i="5"/>
  <c r="AL26" i="5"/>
  <c r="C31" i="16"/>
  <c r="D31" i="16"/>
  <c r="F31" i="16"/>
  <c r="B609" i="4"/>
  <c r="D609" i="4"/>
  <c r="AP31" i="16"/>
  <c r="AZ31" i="16"/>
  <c r="BA31" i="16"/>
  <c r="B32" i="16"/>
  <c r="AS31" i="16"/>
  <c r="AY31" i="16"/>
  <c r="H609" i="4"/>
  <c r="A31" i="16"/>
  <c r="AX31" i="16"/>
  <c r="BB31" i="16"/>
  <c r="AJ27" i="5"/>
  <c r="E30" i="16"/>
  <c r="G609" i="4"/>
  <c r="C608" i="4"/>
  <c r="I609" i="4"/>
  <c r="F609" i="4"/>
  <c r="E609" i="4"/>
  <c r="BB32" i="16"/>
  <c r="AP32" i="16"/>
  <c r="AZ32" i="16"/>
  <c r="D32" i="16"/>
  <c r="AS32" i="16"/>
  <c r="AY32" i="16"/>
  <c r="BA32" i="16"/>
  <c r="B33" i="16"/>
  <c r="AX32" i="16"/>
  <c r="F32" i="16"/>
  <c r="B610" i="4"/>
  <c r="D610" i="4"/>
  <c r="C32" i="16"/>
  <c r="A32" i="16"/>
  <c r="AJ28" i="5"/>
  <c r="AK31" i="16"/>
  <c r="AL31" i="16"/>
  <c r="AB31" i="16"/>
  <c r="AH31" i="16"/>
  <c r="AM31" i="16"/>
  <c r="AE31" i="16"/>
  <c r="AD31" i="16"/>
  <c r="AJ31" i="16"/>
  <c r="AF31" i="16"/>
  <c r="CH27" i="5"/>
  <c r="AL27" i="5"/>
  <c r="E31" i="16"/>
  <c r="V31" i="16"/>
  <c r="W31" i="16" s="1"/>
  <c r="I610" i="4"/>
  <c r="C609" i="4"/>
  <c r="F610" i="4"/>
  <c r="E610" i="4"/>
  <c r="G610" i="4"/>
  <c r="H610" i="4"/>
  <c r="AJ32" i="16"/>
  <c r="AF32" i="16"/>
  <c r="AB32" i="16"/>
  <c r="AE32" i="16"/>
  <c r="AL32" i="16"/>
  <c r="AH32" i="16"/>
  <c r="AD32" i="16"/>
  <c r="AM32" i="16"/>
  <c r="AK32" i="16"/>
  <c r="CH28" i="5"/>
  <c r="AL28" i="5"/>
  <c r="B34" i="16"/>
  <c r="C33" i="16"/>
  <c r="D33" i="16"/>
  <c r="F33" i="16"/>
  <c r="B611" i="4"/>
  <c r="E611" i="4"/>
  <c r="AP33" i="16"/>
  <c r="AZ33" i="16"/>
  <c r="AS33" i="16"/>
  <c r="AY33" i="16"/>
  <c r="A33" i="16"/>
  <c r="AX33" i="16"/>
  <c r="BB33" i="16"/>
  <c r="AJ29" i="5"/>
  <c r="E32" i="16"/>
  <c r="V32" i="16"/>
  <c r="W32" i="16" s="1"/>
  <c r="C610" i="4"/>
  <c r="H611" i="4"/>
  <c r="D611" i="4"/>
  <c r="F611" i="4"/>
  <c r="I611" i="4"/>
  <c r="G611" i="4"/>
  <c r="AL29" i="5"/>
  <c r="CH29" i="5"/>
  <c r="AK33" i="16"/>
  <c r="AL33" i="16"/>
  <c r="AB33" i="16"/>
  <c r="AH33" i="16"/>
  <c r="AM33" i="16"/>
  <c r="AE33" i="16"/>
  <c r="AD33" i="16"/>
  <c r="AJ33" i="16"/>
  <c r="AF33" i="16"/>
  <c r="BA33" i="16"/>
  <c r="E33" i="16"/>
  <c r="V33" i="16"/>
  <c r="W33" i="16" s="1"/>
  <c r="BB34" i="16"/>
  <c r="AP34" i="16"/>
  <c r="AZ34" i="16"/>
  <c r="D34" i="16"/>
  <c r="AS34" i="16"/>
  <c r="AY34" i="16"/>
  <c r="B35" i="16"/>
  <c r="AX34" i="16"/>
  <c r="F34" i="16"/>
  <c r="B612" i="4"/>
  <c r="D612" i="4"/>
  <c r="C34" i="16"/>
  <c r="A34" i="16"/>
  <c r="BA34" i="16"/>
  <c r="AJ30" i="5"/>
  <c r="C611" i="4"/>
  <c r="G612" i="4"/>
  <c r="E612" i="4"/>
  <c r="I612" i="4"/>
  <c r="F612" i="4"/>
  <c r="H612" i="4"/>
  <c r="CH30" i="5"/>
  <c r="AL30" i="5"/>
  <c r="AX35" i="16"/>
  <c r="B36" i="16"/>
  <c r="C35" i="16"/>
  <c r="F35" i="16"/>
  <c r="B613" i="4"/>
  <c r="BB35" i="16"/>
  <c r="AP35" i="16"/>
  <c r="AZ35" i="16"/>
  <c r="AS35" i="16"/>
  <c r="AY35" i="16"/>
  <c r="H613" i="4"/>
  <c r="A35" i="16"/>
  <c r="D35" i="16"/>
  <c r="AJ31" i="5"/>
  <c r="E34" i="16"/>
  <c r="AL34" i="16"/>
  <c r="AH34" i="16"/>
  <c r="AD34" i="16"/>
  <c r="AM34" i="16"/>
  <c r="AK34" i="16"/>
  <c r="AJ34" i="16"/>
  <c r="AF34" i="16"/>
  <c r="AB34" i="16"/>
  <c r="AE34" i="16"/>
  <c r="E613" i="4"/>
  <c r="G613" i="4"/>
  <c r="D613" i="4"/>
  <c r="I613" i="4"/>
  <c r="C612" i="4"/>
  <c r="F613" i="4"/>
  <c r="BA35" i="16"/>
  <c r="CH31" i="5"/>
  <c r="AL31" i="5"/>
  <c r="AL35" i="16"/>
  <c r="AH35" i="16"/>
  <c r="AD35" i="16"/>
  <c r="AK35" i="16"/>
  <c r="AE35" i="16"/>
  <c r="AJ35" i="16"/>
  <c r="AF35" i="16"/>
  <c r="AB35" i="16"/>
  <c r="AM35" i="16"/>
  <c r="E35" i="16"/>
  <c r="AS36" i="16"/>
  <c r="AY36" i="16"/>
  <c r="A36" i="16"/>
  <c r="AX36" i="16"/>
  <c r="F36" i="16"/>
  <c r="B614" i="4"/>
  <c r="G614" i="4"/>
  <c r="B37" i="16"/>
  <c r="C36" i="16"/>
  <c r="BB36" i="16"/>
  <c r="AP36" i="16"/>
  <c r="AZ36" i="16"/>
  <c r="D36" i="16"/>
  <c r="AJ32" i="5"/>
  <c r="C613" i="4"/>
  <c r="H614" i="4"/>
  <c r="E614" i="4"/>
  <c r="BA36" i="16"/>
  <c r="D614" i="4"/>
  <c r="F614" i="4"/>
  <c r="AM36" i="16"/>
  <c r="AE36" i="16"/>
  <c r="AH36" i="16"/>
  <c r="AL36" i="16"/>
  <c r="AB36" i="16"/>
  <c r="AK36" i="16"/>
  <c r="AJ36" i="16"/>
  <c r="AF36" i="16"/>
  <c r="AD36" i="16"/>
  <c r="CH32" i="5"/>
  <c r="AL32" i="5"/>
  <c r="I614" i="4"/>
  <c r="E36" i="16"/>
  <c r="AX37" i="16"/>
  <c r="F37" i="16"/>
  <c r="B615" i="4"/>
  <c r="I615" i="4"/>
  <c r="B38" i="16"/>
  <c r="K42" i="16"/>
  <c r="A37" i="16"/>
  <c r="C37" i="16"/>
  <c r="BB37" i="16"/>
  <c r="AP37" i="16"/>
  <c r="AZ37" i="16"/>
  <c r="D37" i="16"/>
  <c r="AS37" i="16"/>
  <c r="AY37" i="16"/>
  <c r="AJ33" i="5"/>
  <c r="G615" i="4"/>
  <c r="E615" i="4"/>
  <c r="D615" i="4"/>
  <c r="C614" i="4"/>
  <c r="F615" i="4"/>
  <c r="H615" i="4"/>
  <c r="BA37" i="16"/>
  <c r="AL37" i="16"/>
  <c r="AH37" i="16"/>
  <c r="AD37" i="16"/>
  <c r="AK37" i="16"/>
  <c r="AE37" i="16"/>
  <c r="AJ37" i="16"/>
  <c r="AF37" i="16"/>
  <c r="AB37" i="16"/>
  <c r="AM37" i="16"/>
  <c r="C38" i="16"/>
  <c r="BB38" i="16"/>
  <c r="AP38" i="16"/>
  <c r="AZ38" i="16"/>
  <c r="BA38" i="16"/>
  <c r="D38" i="16"/>
  <c r="AS38" i="16"/>
  <c r="AY38" i="16"/>
  <c r="A38" i="16"/>
  <c r="AX38" i="16"/>
  <c r="F38" i="16"/>
  <c r="B616" i="4"/>
  <c r="E616" i="4"/>
  <c r="AJ34" i="5"/>
  <c r="CH33" i="5"/>
  <c r="AL33" i="5"/>
  <c r="E37" i="16"/>
  <c r="N3" i="1"/>
  <c r="C615" i="4"/>
  <c r="G616" i="4"/>
  <c r="G617" i="4" s="1"/>
  <c r="H616" i="4"/>
  <c r="H617" i="4" s="1"/>
  <c r="V38" i="16"/>
  <c r="W38" i="16"/>
  <c r="E38" i="16"/>
  <c r="F616" i="4"/>
  <c r="F617" i="4" s="1"/>
  <c r="D616" i="4"/>
  <c r="I616" i="4"/>
  <c r="AL34" i="5"/>
  <c r="CH34" i="5"/>
  <c r="AK38" i="16"/>
  <c r="AK40" i="16"/>
  <c r="AK41" i="16"/>
  <c r="AJ38" i="16"/>
  <c r="AJ40" i="16"/>
  <c r="AJ41" i="16"/>
  <c r="AF38" i="16"/>
  <c r="AF40" i="16"/>
  <c r="AF41" i="16"/>
  <c r="J8" i="1"/>
  <c r="AD38" i="16"/>
  <c r="AD40" i="16"/>
  <c r="AD41" i="16"/>
  <c r="N4" i="1"/>
  <c r="AM38" i="16"/>
  <c r="AM40" i="16"/>
  <c r="AM41" i="16"/>
  <c r="N8" i="1"/>
  <c r="AE38" i="16"/>
  <c r="AE40" i="16"/>
  <c r="AE41" i="16"/>
  <c r="J7" i="1"/>
  <c r="AH38" i="16"/>
  <c r="AH40" i="16"/>
  <c r="AH41" i="16"/>
  <c r="J6" i="1"/>
  <c r="AL38" i="16"/>
  <c r="AL40" i="16"/>
  <c r="AL41" i="16"/>
  <c r="AB38" i="16"/>
  <c r="AB40" i="16"/>
  <c r="C616" i="4"/>
  <c r="E617" i="4"/>
  <c r="N5" i="1"/>
  <c r="J5" i="1"/>
  <c r="N7" i="1"/>
  <c r="N6" i="1"/>
  <c r="AB41" i="16"/>
  <c r="J4" i="1"/>
  <c r="K40" i="16"/>
  <c r="AK34" i="5"/>
  <c r="M616" i="4"/>
  <c r="D17" i="1"/>
  <c r="K41" i="16"/>
  <c r="J9" i="1"/>
  <c r="M611" i="4" l="1"/>
  <c r="J611" i="4"/>
  <c r="AK29" i="5"/>
  <c r="AK28" i="5"/>
  <c r="J610" i="4"/>
  <c r="M610" i="4"/>
  <c r="AE34" i="5"/>
  <c r="M512" i="4"/>
  <c r="J512" i="4"/>
  <c r="J609" i="4"/>
  <c r="M609" i="4"/>
  <c r="AK27" i="5"/>
  <c r="AH23" i="5"/>
  <c r="M553" i="4"/>
  <c r="J553" i="4"/>
  <c r="J616" i="4"/>
  <c r="S13" i="5"/>
  <c r="M283" i="4"/>
  <c r="J283" i="4"/>
  <c r="M281" i="4"/>
  <c r="J281" i="4"/>
  <c r="S11" i="5"/>
  <c r="M282" i="4"/>
  <c r="M191" i="4"/>
  <c r="J191" i="4"/>
  <c r="M25" i="5"/>
  <c r="M190" i="4"/>
  <c r="M24" i="5"/>
  <c r="J190" i="4"/>
  <c r="M189" i="4"/>
  <c r="J189" i="4"/>
  <c r="M23" i="5"/>
  <c r="M188" i="4"/>
  <c r="J188" i="4"/>
  <c r="M22" i="5"/>
  <c r="P4" i="5"/>
  <c r="M222" i="4"/>
  <c r="M94" i="4"/>
  <c r="G32" i="5"/>
  <c r="M14" i="4"/>
  <c r="D4" i="5"/>
  <c r="AA8" i="3"/>
  <c r="AS4" i="5"/>
  <c r="Y40" i="7"/>
  <c r="BE9" i="3"/>
  <c r="Z11" i="3"/>
  <c r="BE13" i="3"/>
  <c r="Z15" i="3"/>
  <c r="BE17" i="3"/>
  <c r="BE19" i="3"/>
  <c r="BE22" i="3"/>
  <c r="BE11" i="3"/>
  <c r="BE15" i="3"/>
  <c r="Z18" i="3"/>
  <c r="BE24" i="3"/>
  <c r="BE25" i="3"/>
  <c r="Z27" i="3"/>
  <c r="Z29" i="3"/>
  <c r="BE8" i="3"/>
  <c r="BE12" i="3"/>
  <c r="Z16" i="3"/>
  <c r="BE20" i="3"/>
  <c r="Z22" i="3"/>
  <c r="BE23" i="3"/>
  <c r="Z26" i="3"/>
  <c r="BE28" i="3"/>
  <c r="Z30" i="3"/>
  <c r="Z34" i="3"/>
  <c r="BE35" i="3"/>
  <c r="Z37" i="3"/>
  <c r="Z9" i="17"/>
  <c r="Z11" i="17"/>
  <c r="Z13" i="17"/>
  <c r="BE15" i="17"/>
  <c r="BE17" i="17"/>
  <c r="Z19" i="17"/>
  <c r="Z21" i="17"/>
  <c r="BE23" i="17"/>
  <c r="BE31" i="3"/>
  <c r="Z31" i="3"/>
  <c r="Z33" i="3"/>
  <c r="BE36" i="3"/>
  <c r="Z38" i="3"/>
  <c r="BE38" i="3"/>
  <c r="Z10" i="17"/>
  <c r="Z12" i="17"/>
  <c r="BE14" i="17"/>
  <c r="Z16" i="17"/>
  <c r="BE18" i="17"/>
  <c r="BE20" i="17"/>
  <c r="Z22" i="17"/>
  <c r="BE25" i="17"/>
  <c r="BE27" i="17"/>
  <c r="Z29" i="17"/>
  <c r="Z31" i="17"/>
  <c r="Z33" i="17"/>
  <c r="BE35" i="17"/>
  <c r="BE10" i="7"/>
  <c r="Z12" i="7"/>
  <c r="BE15" i="7"/>
  <c r="BE18" i="7"/>
  <c r="Z19" i="7"/>
  <c r="Z22" i="7"/>
  <c r="BE24" i="7"/>
  <c r="Z25" i="17"/>
  <c r="Z27" i="17"/>
  <c r="BE29" i="17"/>
  <c r="BE31" i="17"/>
  <c r="BE33" i="17"/>
  <c r="Z35" i="17"/>
  <c r="Z9" i="7"/>
  <c r="BE11" i="7"/>
  <c r="BE12" i="7"/>
  <c r="BE14" i="7"/>
  <c r="Z15" i="7"/>
  <c r="Z17" i="7"/>
  <c r="Z18" i="7"/>
  <c r="Z21" i="7"/>
  <c r="BE22" i="7"/>
  <c r="Z24" i="7"/>
  <c r="BE26" i="7"/>
  <c r="Z29" i="7"/>
  <c r="Z31" i="7"/>
  <c r="Z33" i="7"/>
  <c r="BE35" i="7"/>
  <c r="BE37" i="7"/>
  <c r="Z8" i="8"/>
  <c r="Z10" i="8"/>
  <c r="BE11" i="8"/>
  <c r="BE14" i="8"/>
  <c r="BE16" i="8"/>
  <c r="BE19" i="8"/>
  <c r="BE21" i="8"/>
  <c r="Z23" i="8"/>
  <c r="Z25" i="8"/>
  <c r="Z26" i="8"/>
  <c r="BE28" i="8"/>
  <c r="BE30" i="8"/>
  <c r="BE32" i="8"/>
  <c r="BE34" i="8"/>
  <c r="Z36" i="8"/>
  <c r="BE8" i="9"/>
  <c r="Z11" i="9"/>
  <c r="Z13" i="9"/>
  <c r="Z14" i="9"/>
  <c r="BE16" i="9"/>
  <c r="Z26" i="7"/>
  <c r="BE27" i="7"/>
  <c r="BE29" i="7"/>
  <c r="BE31" i="7"/>
  <c r="BE33" i="7"/>
  <c r="Z36" i="7"/>
  <c r="BE36" i="7"/>
  <c r="Z9" i="8"/>
  <c r="Z11" i="8"/>
  <c r="Z12" i="8"/>
  <c r="Z14" i="8"/>
  <c r="Z16" i="8"/>
  <c r="BE18" i="8"/>
  <c r="BE20" i="8"/>
  <c r="Z21" i="8"/>
  <c r="BE23" i="8"/>
  <c r="BE25" i="8"/>
  <c r="Z28" i="8"/>
  <c r="Z30" i="8"/>
  <c r="Z32" i="8"/>
  <c r="Z34" i="8"/>
  <c r="BE36" i="8"/>
  <c r="Z8" i="9"/>
  <c r="BE9" i="9"/>
  <c r="BE11" i="9"/>
  <c r="Z8" i="3"/>
  <c r="Z12" i="3"/>
  <c r="BE16" i="3"/>
  <c r="Z20" i="3"/>
  <c r="Z13" i="3"/>
  <c r="Z21" i="3"/>
  <c r="BE26" i="3"/>
  <c r="BE29" i="3"/>
  <c r="BE14" i="3"/>
  <c r="BE21" i="3"/>
  <c r="Z24" i="3"/>
  <c r="BE30" i="3"/>
  <c r="Z35" i="3"/>
  <c r="BE8" i="17"/>
  <c r="BE12" i="17"/>
  <c r="BE16" i="17"/>
  <c r="Z20" i="17"/>
  <c r="BE24" i="17"/>
  <c r="BE33" i="3"/>
  <c r="Z36" i="3"/>
  <c r="BE9" i="17"/>
  <c r="BE13" i="17"/>
  <c r="Z17" i="17"/>
  <c r="BE21" i="17"/>
  <c r="BE26" i="17"/>
  <c r="Z30" i="17"/>
  <c r="Z34" i="17"/>
  <c r="Z11" i="7"/>
  <c r="Z16" i="7"/>
  <c r="BE20" i="7"/>
  <c r="Z24" i="17"/>
  <c r="BE28" i="17"/>
  <c r="Z32" i="17"/>
  <c r="Z8" i="7"/>
  <c r="Z10" i="7"/>
  <c r="Z14" i="7"/>
  <c r="BE17" i="7"/>
  <c r="BE21" i="7"/>
  <c r="Z25" i="7"/>
  <c r="Z30" i="7"/>
  <c r="BE34" i="7"/>
  <c r="BE38" i="7"/>
  <c r="BE9" i="8"/>
  <c r="BE15" i="8"/>
  <c r="Z19" i="8"/>
  <c r="BE24" i="8"/>
  <c r="BE27" i="8"/>
  <c r="BE31" i="8"/>
  <c r="BE35" i="8"/>
  <c r="BE10" i="9"/>
  <c r="BE13" i="9"/>
  <c r="BE25" i="7"/>
  <c r="Z28" i="7"/>
  <c r="Z32" i="7"/>
  <c r="Z37" i="7"/>
  <c r="BE10" i="8"/>
  <c r="Z13" i="8"/>
  <c r="Z17" i="8"/>
  <c r="Z20" i="8"/>
  <c r="Z24" i="8"/>
  <c r="BE29" i="8"/>
  <c r="BE33" i="8"/>
  <c r="Z37" i="8"/>
  <c r="Z10" i="9"/>
  <c r="BE14" i="9"/>
  <c r="Z16" i="9"/>
  <c r="Z18" i="9"/>
  <c r="BE20" i="9"/>
  <c r="BE22" i="9"/>
  <c r="BE24" i="9"/>
  <c r="Z26" i="9"/>
  <c r="BE28" i="9"/>
  <c r="BE30" i="9"/>
  <c r="BE32" i="9"/>
  <c r="Z34" i="9"/>
  <c r="Z36" i="9"/>
  <c r="BE8" i="10"/>
  <c r="BE9" i="10"/>
  <c r="Z11" i="10"/>
  <c r="BE13" i="10"/>
  <c r="Z13" i="10"/>
  <c r="BE16" i="10"/>
  <c r="Z19" i="10"/>
  <c r="Z21" i="10"/>
  <c r="Z23" i="10"/>
  <c r="BE25" i="10"/>
  <c r="Z27" i="10"/>
  <c r="BE29" i="10"/>
  <c r="Z31" i="10"/>
  <c r="BE33" i="10"/>
  <c r="BE35" i="10"/>
  <c r="BE37" i="10"/>
  <c r="BE9" i="11"/>
  <c r="Z17" i="9"/>
  <c r="Z19" i="9"/>
  <c r="BE21" i="9"/>
  <c r="BE23" i="9"/>
  <c r="Z25" i="9"/>
  <c r="BE27" i="9"/>
  <c r="BE29" i="9"/>
  <c r="Z31" i="9"/>
  <c r="BE33" i="9"/>
  <c r="BE35" i="9"/>
  <c r="Z37" i="9"/>
  <c r="Z38" i="9"/>
  <c r="BE10" i="10"/>
  <c r="BE12" i="10"/>
  <c r="Z15" i="10"/>
  <c r="BE17" i="10"/>
  <c r="BE19" i="10"/>
  <c r="BE20" i="10"/>
  <c r="BE22" i="10"/>
  <c r="Z24" i="10"/>
  <c r="BE26" i="10"/>
  <c r="BE28" i="10"/>
  <c r="BE30" i="10"/>
  <c r="BE32" i="10"/>
  <c r="Z34" i="10"/>
  <c r="Z36" i="10"/>
  <c r="BE8" i="11"/>
  <c r="BE10" i="11"/>
  <c r="Z12" i="11"/>
  <c r="BE13" i="11"/>
  <c r="BE15" i="11"/>
  <c r="BE17" i="11"/>
  <c r="BE19" i="11"/>
  <c r="BE21" i="11"/>
  <c r="BE10" i="3"/>
  <c r="Z14" i="3"/>
  <c r="Z19" i="3"/>
  <c r="Z9" i="3"/>
  <c r="BE18" i="3"/>
  <c r="Z25" i="3"/>
  <c r="Z28" i="3"/>
  <c r="Z10" i="3"/>
  <c r="Z17" i="3"/>
  <c r="Z23" i="3"/>
  <c r="BE27" i="3"/>
  <c r="BE32" i="3"/>
  <c r="BE37" i="3"/>
  <c r="BE10" i="17"/>
  <c r="Z14" i="17"/>
  <c r="Z18" i="17"/>
  <c r="BE22" i="17"/>
  <c r="Z32" i="3"/>
  <c r="BE34" i="3"/>
  <c r="Z8" i="17"/>
  <c r="BE11" i="17"/>
  <c r="Z15" i="17"/>
  <c r="BE19" i="17"/>
  <c r="Z23" i="17"/>
  <c r="Z28" i="17"/>
  <c r="BE32" i="17"/>
  <c r="BE8" i="7"/>
  <c r="BE13" i="7"/>
  <c r="BE19" i="7"/>
  <c r="BE23" i="7"/>
  <c r="Z26" i="17"/>
  <c r="BE30" i="17"/>
  <c r="BE34" i="17"/>
  <c r="BE9" i="7"/>
  <c r="Z13" i="7"/>
  <c r="BE16" i="7"/>
  <c r="Z20" i="7"/>
  <c r="Z23" i="7"/>
  <c r="BE28" i="7"/>
  <c r="BE32" i="7"/>
  <c r="Z35" i="7"/>
  <c r="BE8" i="8"/>
  <c r="BE13" i="8"/>
  <c r="BE17" i="8"/>
  <c r="Z22" i="8"/>
  <c r="BE26" i="8"/>
  <c r="Z29" i="8"/>
  <c r="Z33" i="8"/>
  <c r="BE37" i="8"/>
  <c r="Z12" i="9"/>
  <c r="Z15" i="9"/>
  <c r="Z27" i="7"/>
  <c r="BE30" i="7"/>
  <c r="Z34" i="7"/>
  <c r="Z38" i="7"/>
  <c r="BE12" i="8"/>
  <c r="Z15" i="8"/>
  <c r="Z18" i="8"/>
  <c r="BE22" i="8"/>
  <c r="Z27" i="8"/>
  <c r="Z31" i="8"/>
  <c r="Z35" i="8"/>
  <c r="Z9" i="9"/>
  <c r="BE12" i="9"/>
  <c r="BE15" i="9"/>
  <c r="BE17" i="9"/>
  <c r="BE19" i="9"/>
  <c r="Z21" i="9"/>
  <c r="Z23" i="9"/>
  <c r="BE25" i="9"/>
  <c r="Z27" i="9"/>
  <c r="Z29" i="9"/>
  <c r="BE31" i="9"/>
  <c r="Z33" i="9"/>
  <c r="Z35" i="9"/>
  <c r="BE37" i="9"/>
  <c r="Z8" i="10"/>
  <c r="Z10" i="10"/>
  <c r="Z12" i="10"/>
  <c r="Z14" i="10"/>
  <c r="BE15" i="10"/>
  <c r="Z17" i="10"/>
  <c r="Z20" i="10"/>
  <c r="Z22" i="10"/>
  <c r="BE24" i="10"/>
  <c r="Z26" i="10"/>
  <c r="Z28" i="10"/>
  <c r="Z30" i="10"/>
  <c r="Z32" i="10"/>
  <c r="BE34" i="10"/>
  <c r="BE36" i="10"/>
  <c r="Z8" i="11"/>
  <c r="Z10" i="11"/>
  <c r="BE18" i="9"/>
  <c r="Z20" i="9"/>
  <c r="Z22" i="9"/>
  <c r="Z24" i="9"/>
  <c r="BE26" i="9"/>
  <c r="Z28" i="9"/>
  <c r="Z30" i="9"/>
  <c r="Z32" i="9"/>
  <c r="BE34" i="9"/>
  <c r="BE36" i="9"/>
  <c r="BE38" i="9"/>
  <c r="Z9" i="10"/>
  <c r="BE11" i="10"/>
  <c r="BE14" i="10"/>
  <c r="Z16" i="10"/>
  <c r="Z18" i="10"/>
  <c r="BE18" i="10"/>
  <c r="BE21" i="10"/>
  <c r="BE23" i="10"/>
  <c r="Z25" i="10"/>
  <c r="BE27" i="10"/>
  <c r="Z29" i="10"/>
  <c r="BE31" i="10"/>
  <c r="Z33" i="10"/>
  <c r="Z35" i="10"/>
  <c r="Z37" i="10"/>
  <c r="Z9" i="11"/>
  <c r="Z11" i="11"/>
  <c r="Z13" i="11"/>
  <c r="BE14" i="11"/>
  <c r="Z16" i="11"/>
  <c r="BE18" i="11"/>
  <c r="Z20" i="11"/>
  <c r="Z22" i="11"/>
  <c r="BE25" i="11"/>
  <c r="BE26" i="11"/>
  <c r="Z29" i="11"/>
  <c r="Z31" i="11"/>
  <c r="BE31" i="11"/>
  <c r="Z34" i="11"/>
  <c r="Z36" i="11"/>
  <c r="Z38" i="11"/>
  <c r="BE9" i="12"/>
  <c r="Z11" i="12"/>
  <c r="BE13" i="12"/>
  <c r="BE14" i="12"/>
  <c r="BE17" i="12"/>
  <c r="Z19" i="12"/>
  <c r="Z20" i="12"/>
  <c r="BE22" i="12"/>
  <c r="BE24" i="12"/>
  <c r="Z26" i="12"/>
  <c r="Z28" i="12"/>
  <c r="Z30" i="12"/>
  <c r="Z32" i="12"/>
  <c r="Z34" i="12"/>
  <c r="BE36" i="12"/>
  <c r="Z38" i="12"/>
  <c r="BE9" i="13"/>
  <c r="Z11" i="13"/>
  <c r="Z13" i="13"/>
  <c r="BE15" i="13"/>
  <c r="Z17" i="13"/>
  <c r="BE19" i="13"/>
  <c r="Z21" i="13"/>
  <c r="Z23" i="13"/>
  <c r="BE25" i="13"/>
  <c r="Z26" i="13"/>
  <c r="Z29" i="13"/>
  <c r="Z31" i="13"/>
  <c r="Z34" i="13"/>
  <c r="Z37" i="13"/>
  <c r="BE8" i="14"/>
  <c r="Z10" i="14"/>
  <c r="Z12" i="14"/>
  <c r="BE14" i="14"/>
  <c r="Z16" i="14"/>
  <c r="BE18" i="14"/>
  <c r="BE20" i="14"/>
  <c r="Z22" i="14"/>
  <c r="BE11" i="11"/>
  <c r="Z14" i="11"/>
  <c r="BE16" i="11"/>
  <c r="Z18" i="11"/>
  <c r="BE20" i="11"/>
  <c r="Z23" i="11"/>
  <c r="BE24" i="11"/>
  <c r="BE27" i="11"/>
  <c r="BE28" i="11"/>
  <c r="Z30" i="11"/>
  <c r="Z33" i="11"/>
  <c r="BE35" i="11"/>
  <c r="BE37" i="11"/>
  <c r="Z8" i="12"/>
  <c r="BE10" i="12"/>
  <c r="Z12" i="12"/>
  <c r="BE15" i="12"/>
  <c r="Z16" i="12"/>
  <c r="Z18" i="12"/>
  <c r="BE21" i="12"/>
  <c r="BE23" i="12"/>
  <c r="Z25" i="12"/>
  <c r="Z27" i="12"/>
  <c r="BE29" i="12"/>
  <c r="Z31" i="12"/>
  <c r="Z33" i="12"/>
  <c r="Z35" i="12"/>
  <c r="Z37" i="12"/>
  <c r="BE8" i="13"/>
  <c r="Z10" i="13"/>
  <c r="BE12" i="13"/>
  <c r="BE14" i="13"/>
  <c r="BE16" i="13"/>
  <c r="BE18" i="13"/>
  <c r="BE20" i="13"/>
  <c r="Z22" i="13"/>
  <c r="Z24" i="13"/>
  <c r="Z27" i="13"/>
  <c r="Z28" i="13"/>
  <c r="BE30" i="13"/>
  <c r="BE32" i="13"/>
  <c r="Z33" i="13"/>
  <c r="Z35" i="13"/>
  <c r="BE36" i="13"/>
  <c r="Z9" i="14"/>
  <c r="Z11" i="14"/>
  <c r="BE13" i="14"/>
  <c r="BE15" i="14"/>
  <c r="BE17" i="14"/>
  <c r="BE19" i="14"/>
  <c r="BE21" i="14"/>
  <c r="BE23" i="14"/>
  <c r="Z25" i="14"/>
  <c r="BE27" i="14"/>
  <c r="BE30" i="14"/>
  <c r="BE31" i="14"/>
  <c r="BE33" i="14"/>
  <c r="BE35" i="14"/>
  <c r="Z37" i="14"/>
  <c r="Z8" i="15"/>
  <c r="Z12" i="15"/>
  <c r="Z14" i="15"/>
  <c r="Z17" i="15"/>
  <c r="BE18" i="15"/>
  <c r="Z20" i="15"/>
  <c r="BE22" i="15"/>
  <c r="BE25" i="15"/>
  <c r="Z27" i="15"/>
  <c r="Z29" i="15"/>
  <c r="BE31" i="15"/>
  <c r="BE35" i="15"/>
  <c r="BE36" i="15"/>
  <c r="BE8" i="16"/>
  <c r="Z10" i="16"/>
  <c r="Z12" i="16"/>
  <c r="BE14" i="16"/>
  <c r="Z16" i="16"/>
  <c r="BE18" i="16"/>
  <c r="Z20" i="16"/>
  <c r="Z22" i="16"/>
  <c r="BE24" i="16"/>
  <c r="Z27" i="16"/>
  <c r="Z29" i="16"/>
  <c r="Z31" i="16"/>
  <c r="BE32" i="16"/>
  <c r="BE33" i="16"/>
  <c r="BE35" i="16"/>
  <c r="BE37" i="16"/>
  <c r="Z24" i="14"/>
  <c r="Z26" i="14"/>
  <c r="BE28" i="14"/>
  <c r="Z30" i="14"/>
  <c r="Z32" i="14"/>
  <c r="BE34" i="14"/>
  <c r="Z36" i="14"/>
  <c r="BE38" i="14"/>
  <c r="BE9" i="15"/>
  <c r="Z10" i="15"/>
  <c r="Z11" i="15"/>
  <c r="Z13" i="15"/>
  <c r="BE15" i="15"/>
  <c r="Z16" i="15"/>
  <c r="Z19" i="15"/>
  <c r="BE21" i="15"/>
  <c r="BE23" i="15"/>
  <c r="BE24" i="15"/>
  <c r="Z26" i="15"/>
  <c r="Z28" i="15"/>
  <c r="Z30" i="15"/>
  <c r="Z32" i="15"/>
  <c r="BE33" i="15"/>
  <c r="Z35" i="15"/>
  <c r="Z37" i="15"/>
  <c r="BE9" i="16"/>
  <c r="BE11" i="16"/>
  <c r="Z13" i="16"/>
  <c r="Z15" i="16"/>
  <c r="BE17" i="16"/>
  <c r="BE19" i="16"/>
  <c r="BE21" i="16"/>
  <c r="BE23" i="16"/>
  <c r="Z25" i="16"/>
  <c r="Z26" i="16"/>
  <c r="BE28" i="16"/>
  <c r="Z34" i="16"/>
  <c r="BE22" i="11"/>
  <c r="BE23" i="11"/>
  <c r="Z26" i="11"/>
  <c r="Z28" i="11"/>
  <c r="BE30" i="11"/>
  <c r="BE32" i="11"/>
  <c r="BE33" i="11"/>
  <c r="Z35" i="11"/>
  <c r="Z37" i="11"/>
  <c r="BE8" i="12"/>
  <c r="Z10" i="12"/>
  <c r="BE12" i="12"/>
  <c r="Z14" i="12"/>
  <c r="BE16" i="12"/>
  <c r="BE18" i="12"/>
  <c r="BE20" i="12"/>
  <c r="Z21" i="12"/>
  <c r="Z23" i="12"/>
  <c r="BE26" i="12"/>
  <c r="BE27" i="12"/>
  <c r="Z29" i="12"/>
  <c r="BE31" i="12"/>
  <c r="BE33" i="12"/>
  <c r="BE35" i="12"/>
  <c r="BE37" i="12"/>
  <c r="Z8" i="13"/>
  <c r="BE10" i="13"/>
  <c r="BE11" i="13"/>
  <c r="Z14" i="13"/>
  <c r="Z16" i="13"/>
  <c r="BE17" i="13"/>
  <c r="Z20" i="13"/>
  <c r="BE22" i="13"/>
  <c r="BE24" i="13"/>
  <c r="BE26" i="13"/>
  <c r="BE28" i="13"/>
  <c r="Z30" i="13"/>
  <c r="BE33" i="13"/>
  <c r="BE35" i="13"/>
  <c r="BE37" i="13"/>
  <c r="BE9" i="14"/>
  <c r="BE11" i="14"/>
  <c r="Z13" i="14"/>
  <c r="Z15" i="14"/>
  <c r="Z17" i="14"/>
  <c r="Z19" i="14"/>
  <c r="Z21" i="14"/>
  <c r="Z23" i="14"/>
  <c r="BE12" i="11"/>
  <c r="Z15" i="11"/>
  <c r="Z17" i="11"/>
  <c r="Z19" i="11"/>
  <c r="Z21" i="11"/>
  <c r="Z24" i="11"/>
  <c r="Z25" i="11"/>
  <c r="Z27" i="11"/>
  <c r="BE29" i="11"/>
  <c r="Z32" i="11"/>
  <c r="BE34" i="11"/>
  <c r="BE36" i="11"/>
  <c r="BE38" i="11"/>
  <c r="Z9" i="12"/>
  <c r="BE11" i="12"/>
  <c r="Z13" i="12"/>
  <c r="Z15" i="12"/>
  <c r="Z17" i="12"/>
  <c r="BE19" i="12"/>
  <c r="Z22" i="12"/>
  <c r="Z24" i="12"/>
  <c r="BE25" i="12"/>
  <c r="BE28" i="12"/>
  <c r="BE30" i="12"/>
  <c r="BE32" i="12"/>
  <c r="BE34" i="12"/>
  <c r="Z36" i="12"/>
  <c r="BE38" i="12"/>
  <c r="Z9" i="13"/>
  <c r="Z12" i="13"/>
  <c r="BE13" i="13"/>
  <c r="Z15" i="13"/>
  <c r="Z18" i="13"/>
  <c r="Z19" i="13"/>
  <c r="BE21" i="13"/>
  <c r="BE23" i="13"/>
  <c r="Z25" i="13"/>
  <c r="BE27" i="13"/>
  <c r="BE29" i="13"/>
  <c r="BE31" i="13"/>
  <c r="Z32" i="13"/>
  <c r="BE34" i="13"/>
  <c r="Z36" i="13"/>
  <c r="Z8" i="14"/>
  <c r="BE10" i="14"/>
  <c r="BE12" i="14"/>
  <c r="Z14" i="14"/>
  <c r="BE16" i="14"/>
  <c r="Z18" i="14"/>
  <c r="Z20" i="14"/>
  <c r="BE22" i="14"/>
  <c r="BE24" i="14"/>
  <c r="BE26" i="14"/>
  <c r="Z28" i="14"/>
  <c r="Z29" i="14"/>
  <c r="BE32" i="14"/>
  <c r="Z34" i="14"/>
  <c r="BE36" i="14"/>
  <c r="Z38" i="14"/>
  <c r="BE10" i="15"/>
  <c r="BE13" i="15"/>
  <c r="Z15" i="15"/>
  <c r="BE17" i="15"/>
  <c r="BE19" i="15"/>
  <c r="Z21" i="15"/>
  <c r="Z24" i="15"/>
  <c r="BE26" i="15"/>
  <c r="BE28" i="15"/>
  <c r="BE30" i="15"/>
  <c r="Z33" i="15"/>
  <c r="BE34" i="15"/>
  <c r="BE37" i="15"/>
  <c r="Z9" i="16"/>
  <c r="Z11" i="16"/>
  <c r="BE13" i="16"/>
  <c r="BE15" i="16"/>
  <c r="Z17" i="16"/>
  <c r="Z19" i="16"/>
  <c r="Z21" i="16"/>
  <c r="Z23" i="16"/>
  <c r="BE25" i="16"/>
  <c r="Z28" i="16"/>
  <c r="BE30" i="16"/>
  <c r="Z30" i="16"/>
  <c r="Z32" i="16"/>
  <c r="BE34" i="16"/>
  <c r="Z36" i="16"/>
  <c r="Z38" i="16"/>
  <c r="BE25" i="14"/>
  <c r="Z27" i="14"/>
  <c r="BE29" i="14"/>
  <c r="Z31" i="14"/>
  <c r="Z33" i="14"/>
  <c r="Z35" i="14"/>
  <c r="BE37" i="14"/>
  <c r="BE8" i="15"/>
  <c r="Z9" i="15"/>
  <c r="BE11" i="15"/>
  <c r="BE12" i="15"/>
  <c r="BE14" i="15"/>
  <c r="BE16" i="15"/>
  <c r="Z18" i="15"/>
  <c r="BE20" i="15"/>
  <c r="Z22" i="15"/>
  <c r="Z23" i="15"/>
  <c r="Z25" i="15"/>
  <c r="BE27" i="15"/>
  <c r="BE29" i="15"/>
  <c r="Z31" i="15"/>
  <c r="BE32" i="15"/>
  <c r="Z34" i="15"/>
  <c r="Z36" i="15"/>
  <c r="Z8" i="16"/>
  <c r="BE10" i="16"/>
  <c r="BE12" i="16"/>
  <c r="Z14" i="16"/>
  <c r="BE16" i="16"/>
  <c r="Z18" i="16"/>
  <c r="BE20" i="16"/>
  <c r="BE22" i="16"/>
  <c r="Z24" i="16"/>
  <c r="BE26" i="16"/>
  <c r="BE27" i="16"/>
  <c r="BE29" i="16"/>
  <c r="Z33" i="16"/>
  <c r="Z35" i="16"/>
  <c r="Z37" i="16"/>
  <c r="BE31" i="16"/>
  <c r="BE36" i="16"/>
  <c r="BE38" i="16"/>
  <c r="V37" i="16" l="1"/>
  <c r="W37" i="16" s="1"/>
  <c r="V35" i="16"/>
  <c r="W35" i="16" s="1"/>
  <c r="AK31" i="5" s="1"/>
  <c r="V24" i="16"/>
  <c r="W24" i="16" s="1"/>
  <c r="V18" i="16"/>
  <c r="W18" i="16" s="1"/>
  <c r="J596" i="4" s="1"/>
  <c r="V14" i="16"/>
  <c r="W14" i="16" s="1"/>
  <c r="Z40" i="16"/>
  <c r="V8" i="16"/>
  <c r="W8" i="16" s="1"/>
  <c r="V36" i="15"/>
  <c r="W36" i="15" s="1"/>
  <c r="M562" i="4" s="1"/>
  <c r="V34" i="15"/>
  <c r="W34" i="15" s="1"/>
  <c r="V31" i="15"/>
  <c r="W31" i="15" s="1"/>
  <c r="J557" i="4" s="1"/>
  <c r="V25" i="15"/>
  <c r="W25" i="15" s="1"/>
  <c r="V23" i="15"/>
  <c r="W23" i="15" s="1"/>
  <c r="AH19" i="5" s="1"/>
  <c r="V22" i="15"/>
  <c r="W22" i="15" s="1"/>
  <c r="V18" i="15"/>
  <c r="W18" i="15" s="1"/>
  <c r="J544" i="4" s="1"/>
  <c r="V9" i="15"/>
  <c r="W9" i="15" s="1"/>
  <c r="V35" i="14"/>
  <c r="W35" i="14" s="1"/>
  <c r="J509" i="4" s="1"/>
  <c r="V33" i="14"/>
  <c r="W33" i="14" s="1"/>
  <c r="V31" i="14"/>
  <c r="W31" i="14" s="1"/>
  <c r="AE27" i="5" s="1"/>
  <c r="V27" i="14"/>
  <c r="W27" i="14" s="1"/>
  <c r="V36" i="16"/>
  <c r="W36" i="16" s="1"/>
  <c r="M614" i="4" s="1"/>
  <c r="V30" i="16"/>
  <c r="W30" i="16" s="1"/>
  <c r="V28" i="16"/>
  <c r="W28" i="16" s="1"/>
  <c r="M606" i="4" s="1"/>
  <c r="V23" i="16"/>
  <c r="W23" i="16" s="1"/>
  <c r="V21" i="16"/>
  <c r="W21" i="16" s="1"/>
  <c r="AK17" i="5" s="1"/>
  <c r="V19" i="16"/>
  <c r="W19" i="16" s="1"/>
  <c r="V17" i="16"/>
  <c r="W17" i="16" s="1"/>
  <c r="M595" i="4" s="1"/>
  <c r="V11" i="16"/>
  <c r="W11" i="16" s="1"/>
  <c r="V9" i="16"/>
  <c r="W9" i="16" s="1"/>
  <c r="M587" i="4" s="1"/>
  <c r="V33" i="15"/>
  <c r="W33" i="15" s="1"/>
  <c r="V24" i="15"/>
  <c r="W24" i="15" s="1"/>
  <c r="AH20" i="5" s="1"/>
  <c r="V21" i="15"/>
  <c r="W21" i="15" s="1"/>
  <c r="V15" i="15"/>
  <c r="W15" i="15" s="1"/>
  <c r="M541" i="4" s="1"/>
  <c r="V34" i="14"/>
  <c r="W34" i="14" s="1"/>
  <c r="V29" i="14"/>
  <c r="W29" i="14" s="1"/>
  <c r="M503" i="4" s="1"/>
  <c r="V28" i="14"/>
  <c r="W28" i="14" s="1"/>
  <c r="V20" i="14"/>
  <c r="W20" i="14" s="1"/>
  <c r="J494" i="4" s="1"/>
  <c r="V18" i="14"/>
  <c r="W18" i="14" s="1"/>
  <c r="V14" i="14"/>
  <c r="W14" i="14" s="1"/>
  <c r="J488" i="4" s="1"/>
  <c r="Z40" i="14"/>
  <c r="V8" i="14"/>
  <c r="W8" i="14" s="1"/>
  <c r="AE4" i="5" s="1"/>
  <c r="V36" i="13"/>
  <c r="W36" i="13" s="1"/>
  <c r="V32" i="13"/>
  <c r="W32" i="13" s="1"/>
  <c r="J454" i="4" s="1"/>
  <c r="V25" i="13"/>
  <c r="W25" i="13" s="1"/>
  <c r="V19" i="13"/>
  <c r="W19" i="13" s="1"/>
  <c r="J441" i="4" s="1"/>
  <c r="V18" i="13"/>
  <c r="W18" i="13" s="1"/>
  <c r="V15" i="13"/>
  <c r="W15" i="13" s="1"/>
  <c r="AB11" i="5" s="1"/>
  <c r="V12" i="13"/>
  <c r="W12" i="13" s="1"/>
  <c r="V9" i="13"/>
  <c r="W9" i="13" s="1"/>
  <c r="M431" i="4" s="1"/>
  <c r="V36" i="12"/>
  <c r="W36" i="12" s="1"/>
  <c r="V24" i="12"/>
  <c r="W24" i="12" s="1"/>
  <c r="Y20" i="5" s="1"/>
  <c r="V22" i="12"/>
  <c r="W22" i="12" s="1"/>
  <c r="V17" i="12"/>
  <c r="W17" i="12" s="1"/>
  <c r="J387" i="4" s="1"/>
  <c r="V15" i="12"/>
  <c r="W15" i="12" s="1"/>
  <c r="V13" i="12"/>
  <c r="W13" i="12" s="1"/>
  <c r="Y9" i="5" s="1"/>
  <c r="V9" i="12"/>
  <c r="W9" i="12" s="1"/>
  <c r="V32" i="11"/>
  <c r="W32" i="11" s="1"/>
  <c r="M350" i="4" s="1"/>
  <c r="V27" i="11"/>
  <c r="W27" i="11" s="1"/>
  <c r="V25" i="11"/>
  <c r="W25" i="11" s="1"/>
  <c r="V21" i="5" s="1"/>
  <c r="V24" i="11"/>
  <c r="W24" i="11" s="1"/>
  <c r="V21" i="11"/>
  <c r="W21" i="11" s="1"/>
  <c r="M339" i="4" s="1"/>
  <c r="V19" i="11"/>
  <c r="W19" i="11" s="1"/>
  <c r="V17" i="11"/>
  <c r="W17" i="11" s="1"/>
  <c r="V13" i="5" s="1"/>
  <c r="V15" i="11"/>
  <c r="W15" i="11" s="1"/>
  <c r="V23" i="14"/>
  <c r="W23" i="14" s="1"/>
  <c r="AE19" i="5" s="1"/>
  <c r="V21" i="14"/>
  <c r="W21" i="14" s="1"/>
  <c r="V19" i="14"/>
  <c r="W19" i="14" s="1"/>
  <c r="AE15" i="5" s="1"/>
  <c r="V17" i="14"/>
  <c r="W17" i="14" s="1"/>
  <c r="V15" i="14"/>
  <c r="W15" i="14" s="1"/>
  <c r="M489" i="4" s="1"/>
  <c r="V13" i="14"/>
  <c r="W13" i="14" s="1"/>
  <c r="V30" i="13"/>
  <c r="W30" i="13" s="1"/>
  <c r="M452" i="4" s="1"/>
  <c r="V20" i="13"/>
  <c r="W20" i="13" s="1"/>
  <c r="V16" i="13"/>
  <c r="W16" i="13" s="1"/>
  <c r="AB12" i="5" s="1"/>
  <c r="V14" i="13"/>
  <c r="W14" i="13" s="1"/>
  <c r="V8" i="13"/>
  <c r="W8" i="13" s="1"/>
  <c r="AA8" i="13" s="1"/>
  <c r="AA9" i="13" s="1"/>
  <c r="AA10" i="13" s="1"/>
  <c r="AA11" i="13" s="1"/>
  <c r="AA12" i="13" s="1"/>
  <c r="AA13" i="13" s="1"/>
  <c r="AA14" i="13" s="1"/>
  <c r="AA15" i="13" s="1"/>
  <c r="AA16" i="13" s="1"/>
  <c r="AA17" i="13" s="1"/>
  <c r="AA18" i="13" s="1"/>
  <c r="AA19" i="13" s="1"/>
  <c r="AA20" i="13" s="1"/>
  <c r="AA21" i="13" s="1"/>
  <c r="AA22" i="13" s="1"/>
  <c r="AA23" i="13" s="1"/>
  <c r="AA24" i="13" s="1"/>
  <c r="AA25" i="13" s="1"/>
  <c r="AA26" i="13" s="1"/>
  <c r="AA27" i="13" s="1"/>
  <c r="AA28" i="13" s="1"/>
  <c r="AA29" i="13" s="1"/>
  <c r="AA30" i="13" s="1"/>
  <c r="AA31" i="13" s="1"/>
  <c r="AA32" i="13" s="1"/>
  <c r="AA33" i="13" s="1"/>
  <c r="AA34" i="13" s="1"/>
  <c r="AA35" i="13" s="1"/>
  <c r="AA36" i="13" s="1"/>
  <c r="AA37" i="13" s="1"/>
  <c r="Z40" i="13"/>
  <c r="V29" i="12"/>
  <c r="W29" i="12" s="1"/>
  <c r="M399" i="4" s="1"/>
  <c r="V23" i="12"/>
  <c r="W23" i="12" s="1"/>
  <c r="V21" i="12"/>
  <c r="W21" i="12" s="1"/>
  <c r="Y17" i="5" s="1"/>
  <c r="V14" i="12"/>
  <c r="W14" i="12" s="1"/>
  <c r="V10" i="12"/>
  <c r="W10" i="12" s="1"/>
  <c r="M380" i="4" s="1"/>
  <c r="V37" i="11"/>
  <c r="W37" i="11" s="1"/>
  <c r="V35" i="11"/>
  <c r="W35" i="11" s="1"/>
  <c r="V31" i="5" s="1"/>
  <c r="V28" i="11"/>
  <c r="W28" i="11" s="1"/>
  <c r="V26" i="11"/>
  <c r="W26" i="11" s="1"/>
  <c r="M344" i="4" s="1"/>
  <c r="V34" i="16"/>
  <c r="W34" i="16" s="1"/>
  <c r="V26" i="16"/>
  <c r="W26" i="16" s="1"/>
  <c r="M604" i="4" s="1"/>
  <c r="V25" i="16"/>
  <c r="W25" i="16" s="1"/>
  <c r="V15" i="16"/>
  <c r="W15" i="16" s="1"/>
  <c r="M593" i="4" s="1"/>
  <c r="V13" i="16"/>
  <c r="W13" i="16" s="1"/>
  <c r="V37" i="15"/>
  <c r="W37" i="15" s="1"/>
  <c r="AH33" i="5" s="1"/>
  <c r="V35" i="15"/>
  <c r="W35" i="15" s="1"/>
  <c r="V32" i="15"/>
  <c r="W32" i="15" s="1"/>
  <c r="AH28" i="5" s="1"/>
  <c r="V30" i="15"/>
  <c r="W30" i="15" s="1"/>
  <c r="V28" i="15"/>
  <c r="W28" i="15" s="1"/>
  <c r="AH24" i="5" s="1"/>
  <c r="V26" i="15"/>
  <c r="W26" i="15" s="1"/>
  <c r="V19" i="15"/>
  <c r="W19" i="15" s="1"/>
  <c r="J545" i="4" s="1"/>
  <c r="V16" i="15"/>
  <c r="W16" i="15" s="1"/>
  <c r="V13" i="15"/>
  <c r="W13" i="15" s="1"/>
  <c r="M539" i="4" s="1"/>
  <c r="V11" i="15"/>
  <c r="W11" i="15" s="1"/>
  <c r="V10" i="15"/>
  <c r="W10" i="15" s="1"/>
  <c r="W40" i="15" s="1"/>
  <c r="V36" i="14"/>
  <c r="W36" i="14" s="1"/>
  <c r="V32" i="14"/>
  <c r="W32" i="14" s="1"/>
  <c r="AE28" i="5" s="1"/>
  <c r="V30" i="14"/>
  <c r="W30" i="14" s="1"/>
  <c r="V26" i="14"/>
  <c r="W26" i="14" s="1"/>
  <c r="M500" i="4" s="1"/>
  <c r="V24" i="14"/>
  <c r="W24" i="14" s="1"/>
  <c r="V29" i="16"/>
  <c r="W29" i="16" s="1"/>
  <c r="J607" i="4" s="1"/>
  <c r="V27" i="16"/>
  <c r="W27" i="16" s="1"/>
  <c r="V22" i="16"/>
  <c r="W22" i="16" s="1"/>
  <c r="M600" i="4" s="1"/>
  <c r="V20" i="16"/>
  <c r="W20" i="16" s="1"/>
  <c r="V16" i="16"/>
  <c r="W16" i="16" s="1"/>
  <c r="J594" i="4" s="1"/>
  <c r="V12" i="16"/>
  <c r="W12" i="16" s="1"/>
  <c r="V10" i="16"/>
  <c r="W10" i="16" s="1"/>
  <c r="AK6" i="5" s="1"/>
  <c r="V29" i="15"/>
  <c r="W29" i="15" s="1"/>
  <c r="V20" i="15"/>
  <c r="W20" i="15" s="1"/>
  <c r="M546" i="4" s="1"/>
  <c r="V17" i="15"/>
  <c r="W17" i="15" s="1"/>
  <c r="V14" i="15"/>
  <c r="W14" i="15" s="1"/>
  <c r="AH10" i="5" s="1"/>
  <c r="V12" i="15"/>
  <c r="W12" i="15" s="1"/>
  <c r="Z40" i="15"/>
  <c r="V8" i="15"/>
  <c r="W8" i="15" s="1"/>
  <c r="V37" i="14"/>
  <c r="W37" i="14" s="1"/>
  <c r="J511" i="4" s="1"/>
  <c r="V25" i="14"/>
  <c r="W25" i="14" s="1"/>
  <c r="V11" i="14"/>
  <c r="W11" i="14" s="1"/>
  <c r="J485" i="4" s="1"/>
  <c r="V9" i="14"/>
  <c r="W9" i="14" s="1"/>
  <c r="V35" i="13"/>
  <c r="W35" i="13" s="1"/>
  <c r="M457" i="4" s="1"/>
  <c r="V33" i="13"/>
  <c r="W33" i="13" s="1"/>
  <c r="V28" i="13"/>
  <c r="W28" i="13" s="1"/>
  <c r="AB24" i="5" s="1"/>
  <c r="V27" i="13"/>
  <c r="W27" i="13" s="1"/>
  <c r="V24" i="13"/>
  <c r="W24" i="13" s="1"/>
  <c r="AB20" i="5" s="1"/>
  <c r="V22" i="13"/>
  <c r="W22" i="13" s="1"/>
  <c r="V10" i="13"/>
  <c r="W10" i="13" s="1"/>
  <c r="J432" i="4" s="1"/>
  <c r="V37" i="12"/>
  <c r="W37" i="12" s="1"/>
  <c r="V35" i="12"/>
  <c r="W35" i="12" s="1"/>
  <c r="J405" i="4" s="1"/>
  <c r="V33" i="12"/>
  <c r="W33" i="12" s="1"/>
  <c r="V31" i="12"/>
  <c r="W31" i="12" s="1"/>
  <c r="M401" i="4" s="1"/>
  <c r="V27" i="12"/>
  <c r="W27" i="12" s="1"/>
  <c r="V25" i="12"/>
  <c r="W25" i="12" s="1"/>
  <c r="Y21" i="5" s="1"/>
  <c r="V18" i="12"/>
  <c r="W18" i="12" s="1"/>
  <c r="V16" i="12"/>
  <c r="W16" i="12" s="1"/>
  <c r="J386" i="4" s="1"/>
  <c r="V12" i="12"/>
  <c r="W12" i="12" s="1"/>
  <c r="V8" i="12"/>
  <c r="W8" i="12" s="1"/>
  <c r="J378" i="4" s="1"/>
  <c r="Z40" i="12"/>
  <c r="V33" i="11"/>
  <c r="W33" i="11" s="1"/>
  <c r="V29" i="5" s="1"/>
  <c r="V30" i="11"/>
  <c r="W30" i="11" s="1"/>
  <c r="V23" i="11"/>
  <c r="W23" i="11" s="1"/>
  <c r="M341" i="4" s="1"/>
  <c r="V18" i="11"/>
  <c r="W18" i="11" s="1"/>
  <c r="V14" i="11"/>
  <c r="W14" i="11" s="1"/>
  <c r="V10" i="5" s="1"/>
  <c r="V22" i="14"/>
  <c r="W22" i="14" s="1"/>
  <c r="V16" i="14"/>
  <c r="W16" i="14" s="1"/>
  <c r="J490" i="4" s="1"/>
  <c r="V12" i="14"/>
  <c r="W12" i="14" s="1"/>
  <c r="V37" i="13"/>
  <c r="W37" i="13" s="1"/>
  <c r="M459" i="4" s="1"/>
  <c r="V34" i="13"/>
  <c r="W34" i="13" s="1"/>
  <c r="V31" i="13"/>
  <c r="W31" i="13" s="1"/>
  <c r="J453" i="4" s="1"/>
  <c r="V29" i="13"/>
  <c r="W29" i="13" s="1"/>
  <c r="V26" i="13"/>
  <c r="W26" i="13" s="1"/>
  <c r="J448" i="4" s="1"/>
  <c r="V23" i="13"/>
  <c r="W23" i="13" s="1"/>
  <c r="V21" i="13"/>
  <c r="W21" i="13" s="1"/>
  <c r="M443" i="4" s="1"/>
  <c r="V17" i="13"/>
  <c r="W17" i="13" s="1"/>
  <c r="V13" i="13"/>
  <c r="W13" i="13" s="1"/>
  <c r="AB9" i="5" s="1"/>
  <c r="V11" i="13"/>
  <c r="W11" i="13" s="1"/>
  <c r="V38" i="12"/>
  <c r="W38" i="12" s="1"/>
  <c r="M408" i="4" s="1"/>
  <c r="V34" i="12"/>
  <c r="W34" i="12" s="1"/>
  <c r="V32" i="12"/>
  <c r="W32" i="12" s="1"/>
  <c r="Y28" i="5" s="1"/>
  <c r="V30" i="12"/>
  <c r="W30" i="12" s="1"/>
  <c r="V28" i="12"/>
  <c r="W28" i="12" s="1"/>
  <c r="J398" i="4" s="1"/>
  <c r="V26" i="12"/>
  <c r="W26" i="12" s="1"/>
  <c r="V20" i="12"/>
  <c r="W20" i="12" s="1"/>
  <c r="J390" i="4" s="1"/>
  <c r="V19" i="12"/>
  <c r="W19" i="12" s="1"/>
  <c r="V11" i="12"/>
  <c r="W11" i="12" s="1"/>
  <c r="J381" i="4" s="1"/>
  <c r="V38" i="11"/>
  <c r="W38" i="11" s="1"/>
  <c r="V36" i="11"/>
  <c r="W36" i="11" s="1"/>
  <c r="J354" i="4" s="1"/>
  <c r="V34" i="11"/>
  <c r="W34" i="11" s="1"/>
  <c r="V31" i="11"/>
  <c r="W31" i="11" s="1"/>
  <c r="V27" i="5" s="1"/>
  <c r="V29" i="11"/>
  <c r="W29" i="11" s="1"/>
  <c r="V22" i="11"/>
  <c r="W22" i="11" s="1"/>
  <c r="V18" i="5" s="1"/>
  <c r="V20" i="11"/>
  <c r="W20" i="11" s="1"/>
  <c r="V16" i="11"/>
  <c r="W16" i="11" s="1"/>
  <c r="M334" i="4" s="1"/>
  <c r="V13" i="11"/>
  <c r="W13" i="11" s="1"/>
  <c r="V11" i="11"/>
  <c r="W11" i="11" s="1"/>
  <c r="M329" i="4" s="1"/>
  <c r="V9" i="11"/>
  <c r="W9" i="11" s="1"/>
  <c r="V37" i="10"/>
  <c r="W37" i="10" s="1"/>
  <c r="S33" i="5" s="1"/>
  <c r="V35" i="10"/>
  <c r="W35" i="10" s="1"/>
  <c r="V33" i="10"/>
  <c r="W33" i="10" s="1"/>
  <c r="M299" i="4" s="1"/>
  <c r="V29" i="10"/>
  <c r="W29" i="10" s="1"/>
  <c r="V25" i="10"/>
  <c r="W25" i="10" s="1"/>
  <c r="J291" i="4" s="1"/>
  <c r="V18" i="10"/>
  <c r="W18" i="10" s="1"/>
  <c r="V9" i="10"/>
  <c r="W9" i="10" s="1"/>
  <c r="J275" i="4" s="1"/>
  <c r="V32" i="9"/>
  <c r="W32" i="9" s="1"/>
  <c r="V30" i="9"/>
  <c r="W30" i="9" s="1"/>
  <c r="M244" i="4" s="1"/>
  <c r="V28" i="9"/>
  <c r="W28" i="9" s="1"/>
  <c r="V24" i="9"/>
  <c r="W24" i="9" s="1"/>
  <c r="J238" i="4" s="1"/>
  <c r="V22" i="9"/>
  <c r="W22" i="9" s="1"/>
  <c r="V20" i="9"/>
  <c r="W20" i="9" s="1"/>
  <c r="P16" i="5" s="1"/>
  <c r="V10" i="11"/>
  <c r="W10" i="11" s="1"/>
  <c r="V8" i="11"/>
  <c r="W8" i="11" s="1"/>
  <c r="AA8" i="11" s="1"/>
  <c r="AA9" i="11" s="1"/>
  <c r="AA10" i="11" s="1"/>
  <c r="AA11" i="11" s="1"/>
  <c r="AA12" i="11" s="1"/>
  <c r="AA13" i="11" s="1"/>
  <c r="AA14" i="11" s="1"/>
  <c r="AA15" i="11" s="1"/>
  <c r="AA16" i="11" s="1"/>
  <c r="AA17" i="11" s="1"/>
  <c r="AA18" i="11" s="1"/>
  <c r="AA19" i="11" s="1"/>
  <c r="AA20" i="11" s="1"/>
  <c r="AA21" i="11" s="1"/>
  <c r="AA22" i="11" s="1"/>
  <c r="AA23" i="11" s="1"/>
  <c r="AA24" i="11" s="1"/>
  <c r="AA25" i="11" s="1"/>
  <c r="AA26" i="11" s="1"/>
  <c r="AA27" i="11" s="1"/>
  <c r="AA28" i="11" s="1"/>
  <c r="AA29" i="11" s="1"/>
  <c r="AA30" i="11" s="1"/>
  <c r="AA31" i="11" s="1"/>
  <c r="AA32" i="11" s="1"/>
  <c r="AA33" i="11" s="1"/>
  <c r="AA34" i="11" s="1"/>
  <c r="AA35" i="11" s="1"/>
  <c r="AA36" i="11" s="1"/>
  <c r="AA37" i="11" s="1"/>
  <c r="AA38" i="11" s="1"/>
  <c r="Z40" i="11"/>
  <c r="V32" i="10"/>
  <c r="W32" i="10" s="1"/>
  <c r="M298" i="4" s="1"/>
  <c r="V30" i="10"/>
  <c r="W30" i="10" s="1"/>
  <c r="V28" i="10"/>
  <c r="W28" i="10" s="1"/>
  <c r="S24" i="5" s="1"/>
  <c r="V26" i="10"/>
  <c r="W26" i="10" s="1"/>
  <c r="V22" i="10"/>
  <c r="W22" i="10" s="1"/>
  <c r="M288" i="4" s="1"/>
  <c r="V20" i="10"/>
  <c r="W20" i="10" s="1"/>
  <c r="V14" i="10"/>
  <c r="W14" i="10" s="1"/>
  <c r="M280" i="4" s="1"/>
  <c r="V12" i="10"/>
  <c r="W12" i="10" s="1"/>
  <c r="V10" i="10"/>
  <c r="W10" i="10" s="1"/>
  <c r="J276" i="4" s="1"/>
  <c r="Z40" i="10"/>
  <c r="V8" i="10"/>
  <c r="W8" i="10" s="1"/>
  <c r="J274" i="4" s="1"/>
  <c r="V35" i="9"/>
  <c r="W35" i="9" s="1"/>
  <c r="V33" i="9"/>
  <c r="W33" i="9" s="1"/>
  <c r="M247" i="4" s="1"/>
  <c r="V29" i="9"/>
  <c r="W29" i="9" s="1"/>
  <c r="V27" i="9"/>
  <c r="W27" i="9" s="1"/>
  <c r="J241" i="4" s="1"/>
  <c r="V23" i="9"/>
  <c r="W23" i="9" s="1"/>
  <c r="V21" i="9"/>
  <c r="W21" i="9" s="1"/>
  <c r="M235" i="4" s="1"/>
  <c r="V9" i="9"/>
  <c r="W9" i="9" s="1"/>
  <c r="V35" i="8"/>
  <c r="W35" i="8" s="1"/>
  <c r="M197" i="4" s="1"/>
  <c r="V31" i="8"/>
  <c r="W31" i="8" s="1"/>
  <c r="V18" i="8"/>
  <c r="W18" i="8" s="1"/>
  <c r="M14" i="5" s="1"/>
  <c r="V15" i="8"/>
  <c r="W15" i="8" s="1"/>
  <c r="V38" i="7"/>
  <c r="W38" i="7" s="1"/>
  <c r="M148" i="4" s="1"/>
  <c r="V34" i="7"/>
  <c r="W34" i="7" s="1"/>
  <c r="V27" i="7"/>
  <c r="W27" i="7" s="1"/>
  <c r="J137" i="4" s="1"/>
  <c r="V15" i="9"/>
  <c r="W15" i="9" s="1"/>
  <c r="V12" i="9"/>
  <c r="W12" i="9" s="1"/>
  <c r="M226" i="4" s="1"/>
  <c r="V33" i="8"/>
  <c r="W33" i="8" s="1"/>
  <c r="V22" i="8"/>
  <c r="W22" i="8" s="1"/>
  <c r="J184" i="4" s="1"/>
  <c r="V35" i="7"/>
  <c r="W35" i="7" s="1"/>
  <c r="V23" i="7"/>
  <c r="W23" i="7" s="1"/>
  <c r="J19" i="5" s="1"/>
  <c r="V20" i="7"/>
  <c r="W20" i="7" s="1"/>
  <c r="V13" i="7"/>
  <c r="W13" i="7" s="1"/>
  <c r="J123" i="4" s="1"/>
  <c r="V26" i="17"/>
  <c r="W26" i="17" s="1"/>
  <c r="V28" i="17"/>
  <c r="W28" i="17" s="1"/>
  <c r="G24" i="5" s="1"/>
  <c r="V23" i="17"/>
  <c r="W23" i="17" s="1"/>
  <c r="V15" i="17"/>
  <c r="W15" i="17" s="1"/>
  <c r="M73" i="4" s="1"/>
  <c r="Z40" i="17"/>
  <c r="V8" i="17"/>
  <c r="W8" i="17" s="1"/>
  <c r="J66" i="4" s="1"/>
  <c r="V32" i="3"/>
  <c r="W32" i="3" s="1"/>
  <c r="V18" i="17"/>
  <c r="W18" i="17" s="1"/>
  <c r="G14" i="5" s="1"/>
  <c r="V14" i="17"/>
  <c r="W14" i="17" s="1"/>
  <c r="V23" i="3"/>
  <c r="W23" i="3" s="1"/>
  <c r="D19" i="5" s="1"/>
  <c r="V17" i="3"/>
  <c r="W17" i="3" s="1"/>
  <c r="V10" i="3"/>
  <c r="W10" i="3" s="1"/>
  <c r="W40" i="3" s="1"/>
  <c r="W41" i="3" s="1"/>
  <c r="W39" i="17" s="1"/>
  <c r="W41" i="17" s="1"/>
  <c r="W39" i="7" s="1"/>
  <c r="W41" i="7" s="1"/>
  <c r="W39" i="8" s="1"/>
  <c r="V28" i="3"/>
  <c r="W28" i="3" s="1"/>
  <c r="V25" i="3"/>
  <c r="W25" i="3" s="1"/>
  <c r="M31" i="4" s="1"/>
  <c r="V9" i="3"/>
  <c r="W9" i="3" s="1"/>
  <c r="V19" i="3"/>
  <c r="W19" i="3" s="1"/>
  <c r="M25" i="4" s="1"/>
  <c r="V14" i="3"/>
  <c r="W14" i="3" s="1"/>
  <c r="V12" i="11"/>
  <c r="W12" i="11" s="1"/>
  <c r="M330" i="4" s="1"/>
  <c r="V36" i="10"/>
  <c r="W36" i="10" s="1"/>
  <c r="V34" i="10"/>
  <c r="W34" i="10" s="1"/>
  <c r="S30" i="5" s="1"/>
  <c r="V24" i="10"/>
  <c r="W24" i="10" s="1"/>
  <c r="V38" i="9"/>
  <c r="W38" i="9" s="1"/>
  <c r="M252" i="4" s="1"/>
  <c r="V31" i="9"/>
  <c r="W31" i="9" s="1"/>
  <c r="V25" i="9"/>
  <c r="W25" i="9" s="1"/>
  <c r="M239" i="4" s="1"/>
  <c r="V19" i="9"/>
  <c r="W19" i="9" s="1"/>
  <c r="V17" i="9"/>
  <c r="W17" i="9" s="1"/>
  <c r="J231" i="4" s="1"/>
  <c r="V31" i="10"/>
  <c r="W31" i="10" s="1"/>
  <c r="V27" i="10"/>
  <c r="W27" i="10" s="1"/>
  <c r="J293" i="4" s="1"/>
  <c r="V23" i="10"/>
  <c r="W23" i="10" s="1"/>
  <c r="V21" i="10"/>
  <c r="W21" i="10" s="1"/>
  <c r="S17" i="5" s="1"/>
  <c r="V19" i="10"/>
  <c r="W19" i="10" s="1"/>
  <c r="V13" i="10"/>
  <c r="W13" i="10" s="1"/>
  <c r="J279" i="4" s="1"/>
  <c r="V11" i="10"/>
  <c r="W11" i="10" s="1"/>
  <c r="V36" i="9"/>
  <c r="W36" i="9" s="1"/>
  <c r="P32" i="5" s="1"/>
  <c r="V34" i="9"/>
  <c r="W34" i="9" s="1"/>
  <c r="V26" i="9"/>
  <c r="W26" i="9" s="1"/>
  <c r="P22" i="5" s="1"/>
  <c r="V18" i="9"/>
  <c r="W18" i="9" s="1"/>
  <c r="V16" i="9"/>
  <c r="W16" i="9" s="1"/>
  <c r="M230" i="4" s="1"/>
  <c r="V10" i="9"/>
  <c r="W10" i="9" s="1"/>
  <c r="V37" i="8"/>
  <c r="W37" i="8" s="1"/>
  <c r="M33" i="5" s="1"/>
  <c r="V24" i="8"/>
  <c r="W24" i="8" s="1"/>
  <c r="V20" i="8"/>
  <c r="W20" i="8" s="1"/>
  <c r="M16" i="5" s="1"/>
  <c r="V17" i="8"/>
  <c r="W17" i="8" s="1"/>
  <c r="V13" i="8"/>
  <c r="W13" i="8" s="1"/>
  <c r="M175" i="4" s="1"/>
  <c r="V37" i="7"/>
  <c r="W37" i="7" s="1"/>
  <c r="V32" i="7"/>
  <c r="W32" i="7" s="1"/>
  <c r="J142" i="4" s="1"/>
  <c r="V28" i="7"/>
  <c r="W28" i="7" s="1"/>
  <c r="V19" i="8"/>
  <c r="W19" i="8" s="1"/>
  <c r="M15" i="5" s="1"/>
  <c r="V30" i="7"/>
  <c r="W30" i="7" s="1"/>
  <c r="V25" i="7"/>
  <c r="W25" i="7" s="1"/>
  <c r="M135" i="4" s="1"/>
  <c r="V14" i="7"/>
  <c r="W14" i="7" s="1"/>
  <c r="V10" i="7"/>
  <c r="W10" i="7" s="1"/>
  <c r="J120" i="4" s="1"/>
  <c r="Z40" i="7"/>
  <c r="V8" i="7"/>
  <c r="W8" i="7" s="1"/>
  <c r="M118" i="4" s="1"/>
  <c r="V32" i="17"/>
  <c r="W32" i="17" s="1"/>
  <c r="V24" i="17"/>
  <c r="W24" i="17" s="1"/>
  <c r="G20" i="5" s="1"/>
  <c r="V16" i="7"/>
  <c r="W16" i="7" s="1"/>
  <c r="V11" i="7"/>
  <c r="W11" i="7" s="1"/>
  <c r="M121" i="4" s="1"/>
  <c r="V34" i="17"/>
  <c r="W34" i="17" s="1"/>
  <c r="V30" i="17"/>
  <c r="W30" i="17" s="1"/>
  <c r="G26" i="5" s="1"/>
  <c r="V17" i="17"/>
  <c r="W17" i="17" s="1"/>
  <c r="V36" i="3"/>
  <c r="W36" i="3" s="1"/>
  <c r="J42" i="4" s="1"/>
  <c r="V20" i="17"/>
  <c r="W20" i="17" s="1"/>
  <c r="V35" i="3"/>
  <c r="W35" i="3" s="1"/>
  <c r="J41" i="4" s="1"/>
  <c r="V24" i="3"/>
  <c r="W24" i="3" s="1"/>
  <c r="V21" i="3"/>
  <c r="W21" i="3" s="1"/>
  <c r="M27" i="4" s="1"/>
  <c r="V13" i="3"/>
  <c r="W13" i="3" s="1"/>
  <c r="V20" i="3"/>
  <c r="W20" i="3" s="1"/>
  <c r="J26" i="4" s="1"/>
  <c r="V12" i="3"/>
  <c r="W12" i="3" s="1"/>
  <c r="Z40" i="3"/>
  <c r="Z40" i="9"/>
  <c r="V34" i="8"/>
  <c r="W34" i="8" s="1"/>
  <c r="M30" i="5" s="1"/>
  <c r="V32" i="8"/>
  <c r="W32" i="8" s="1"/>
  <c r="V30" i="8"/>
  <c r="W30" i="8" s="1"/>
  <c r="J192" i="4" s="1"/>
  <c r="V21" i="8"/>
  <c r="W21" i="8" s="1"/>
  <c r="V16" i="8"/>
  <c r="W16" i="8" s="1"/>
  <c r="J178" i="4" s="1"/>
  <c r="V14" i="8"/>
  <c r="W14" i="8" s="1"/>
  <c r="V12" i="8"/>
  <c r="W12" i="8" s="1"/>
  <c r="M8" i="5" s="1"/>
  <c r="V11" i="8"/>
  <c r="W11" i="8" s="1"/>
  <c r="V9" i="8"/>
  <c r="W9" i="8" s="1"/>
  <c r="M171" i="4" s="1"/>
  <c r="V36" i="7"/>
  <c r="W36" i="7" s="1"/>
  <c r="V26" i="7"/>
  <c r="W26" i="7" s="1"/>
  <c r="J136" i="4" s="1"/>
  <c r="V14" i="9"/>
  <c r="W14" i="9" s="1"/>
  <c r="V13" i="9"/>
  <c r="W13" i="9" s="1"/>
  <c r="J227" i="4" s="1"/>
  <c r="V11" i="9"/>
  <c r="W11" i="9" s="1"/>
  <c r="V36" i="8"/>
  <c r="W36" i="8" s="1"/>
  <c r="J198" i="4" s="1"/>
  <c r="V25" i="8"/>
  <c r="W25" i="8" s="1"/>
  <c r="V23" i="8"/>
  <c r="W23" i="8" s="1"/>
  <c r="J185" i="4" s="1"/>
  <c r="V10" i="8"/>
  <c r="W10" i="8" s="1"/>
  <c r="V8" i="8"/>
  <c r="W8" i="8" s="1"/>
  <c r="J170" i="4" s="1"/>
  <c r="Z40" i="8"/>
  <c r="V33" i="7"/>
  <c r="W33" i="7" s="1"/>
  <c r="M143" i="4" s="1"/>
  <c r="V31" i="7"/>
  <c r="W31" i="7" s="1"/>
  <c r="V29" i="7"/>
  <c r="W29" i="7" s="1"/>
  <c r="J139" i="4" s="1"/>
  <c r="V24" i="7"/>
  <c r="W24" i="7" s="1"/>
  <c r="V21" i="7"/>
  <c r="W21" i="7" s="1"/>
  <c r="J131" i="4" s="1"/>
  <c r="V18" i="7"/>
  <c r="W18" i="7" s="1"/>
  <c r="V17" i="7"/>
  <c r="W17" i="7" s="1"/>
  <c r="J13" i="5" s="1"/>
  <c r="V15" i="7"/>
  <c r="W15" i="7" s="1"/>
  <c r="V9" i="7"/>
  <c r="W9" i="7" s="1"/>
  <c r="AA9" i="7" s="1"/>
  <c r="AA10" i="7" s="1"/>
  <c r="AA11" i="7" s="1"/>
  <c r="AA12" i="7" s="1"/>
  <c r="AA13" i="7" s="1"/>
  <c r="AA14" i="7" s="1"/>
  <c r="AA15" i="7" s="1"/>
  <c r="AA16" i="7" s="1"/>
  <c r="AA17" i="7" s="1"/>
  <c r="AA18" i="7" s="1"/>
  <c r="AA19" i="7" s="1"/>
  <c r="AA20" i="7" s="1"/>
  <c r="AA21" i="7" s="1"/>
  <c r="AA22" i="7" s="1"/>
  <c r="AA23" i="7" s="1"/>
  <c r="AA24" i="7" s="1"/>
  <c r="AA25" i="7" s="1"/>
  <c r="AA26" i="7" s="1"/>
  <c r="AA27" i="7" s="1"/>
  <c r="AA28" i="7" s="1"/>
  <c r="AA29" i="7" s="1"/>
  <c r="AA30" i="7" s="1"/>
  <c r="AA31" i="7" s="1"/>
  <c r="AA32" i="7" s="1"/>
  <c r="AA33" i="7" s="1"/>
  <c r="AA34" i="7" s="1"/>
  <c r="AA35" i="7" s="1"/>
  <c r="AA36" i="7" s="1"/>
  <c r="AA37" i="7" s="1"/>
  <c r="AA38" i="7" s="1"/>
  <c r="V35" i="17"/>
  <c r="W35" i="17" s="1"/>
  <c r="V27" i="17"/>
  <c r="W27" i="17" s="1"/>
  <c r="G23" i="5" s="1"/>
  <c r="V25" i="17"/>
  <c r="W25" i="17" s="1"/>
  <c r="V22" i="7"/>
  <c r="W22" i="7" s="1"/>
  <c r="J132" i="4" s="1"/>
  <c r="V19" i="7"/>
  <c r="W19" i="7" s="1"/>
  <c r="V12" i="7"/>
  <c r="W12" i="7" s="1"/>
  <c r="J122" i="4" s="1"/>
  <c r="V33" i="17"/>
  <c r="W33" i="17" s="1"/>
  <c r="V31" i="17"/>
  <c r="W31" i="17" s="1"/>
  <c r="J89" i="4" s="1"/>
  <c r="V29" i="17"/>
  <c r="W29" i="17" s="1"/>
  <c r="V22" i="17"/>
  <c r="W22" i="17" s="1"/>
  <c r="J80" i="4" s="1"/>
  <c r="V16" i="17"/>
  <c r="W16" i="17" s="1"/>
  <c r="V12" i="17"/>
  <c r="W12" i="17" s="1"/>
  <c r="M70" i="4" s="1"/>
  <c r="V10" i="17"/>
  <c r="W10" i="17" s="1"/>
  <c r="V38" i="3"/>
  <c r="W38" i="3" s="1"/>
  <c r="J44" i="4" s="1"/>
  <c r="V33" i="3"/>
  <c r="W33" i="3" s="1"/>
  <c r="V31" i="3"/>
  <c r="W31" i="3" s="1"/>
  <c r="M37" i="4" s="1"/>
  <c r="V21" i="17"/>
  <c r="W21" i="17" s="1"/>
  <c r="V19" i="17"/>
  <c r="W19" i="17" s="1"/>
  <c r="G15" i="5" s="1"/>
  <c r="V13" i="17"/>
  <c r="W13" i="17" s="1"/>
  <c r="V11" i="17"/>
  <c r="W11" i="17" s="1"/>
  <c r="G7" i="5" s="1"/>
  <c r="V9" i="17"/>
  <c r="W9" i="17" s="1"/>
  <c r="V37" i="3"/>
  <c r="W37" i="3" s="1"/>
  <c r="D33" i="5" s="1"/>
  <c r="V34" i="3"/>
  <c r="W34" i="3" s="1"/>
  <c r="V30" i="3"/>
  <c r="W30" i="3" s="1"/>
  <c r="J36" i="4" s="1"/>
  <c r="V26" i="3"/>
  <c r="W26" i="3" s="1"/>
  <c r="V22" i="3"/>
  <c r="W22" i="3" s="1"/>
  <c r="D18" i="5" s="1"/>
  <c r="V16" i="3"/>
  <c r="W16" i="3" s="1"/>
  <c r="BD8" i="3"/>
  <c r="AQ4" i="5" s="1"/>
  <c r="V29" i="3"/>
  <c r="W29" i="3" s="1"/>
  <c r="V27" i="3"/>
  <c r="W27" i="3" s="1"/>
  <c r="J33" i="4" s="1"/>
  <c r="V18" i="3"/>
  <c r="W18" i="3" s="1"/>
  <c r="V15" i="3"/>
  <c r="W15" i="3" s="1"/>
  <c r="D11" i="5" s="1"/>
  <c r="V11" i="3"/>
  <c r="W11" i="3" s="1"/>
  <c r="J21" i="4"/>
  <c r="M21" i="4"/>
  <c r="M19" i="4"/>
  <c r="J19" i="4"/>
  <c r="D9" i="5"/>
  <c r="M33" i="4"/>
  <c r="D23" i="5"/>
  <c r="M35" i="4"/>
  <c r="J35" i="4"/>
  <c r="D25" i="5"/>
  <c r="M28" i="4"/>
  <c r="J28" i="4"/>
  <c r="M30" i="4"/>
  <c r="D20" i="5"/>
  <c r="J30" i="4"/>
  <c r="M41" i="4"/>
  <c r="D31" i="5"/>
  <c r="M71" i="4"/>
  <c r="G9" i="5"/>
  <c r="J71" i="4"/>
  <c r="J78" i="4"/>
  <c r="G16" i="5"/>
  <c r="M78" i="4"/>
  <c r="M39" i="4"/>
  <c r="J39" i="4"/>
  <c r="D29" i="5"/>
  <c r="M66" i="4"/>
  <c r="AA8" i="17"/>
  <c r="W40" i="17"/>
  <c r="M74" i="4"/>
  <c r="J74" i="4"/>
  <c r="G12" i="5"/>
  <c r="M86" i="4"/>
  <c r="J86" i="4"/>
  <c r="G29" i="5"/>
  <c r="J91" i="4"/>
  <c r="M91" i="4"/>
  <c r="J12" i="5"/>
  <c r="J126" i="4"/>
  <c r="M126" i="4"/>
  <c r="M85" i="4"/>
  <c r="AA8" i="7"/>
  <c r="J118" i="4"/>
  <c r="W40" i="7"/>
  <c r="J6" i="5"/>
  <c r="J16" i="5"/>
  <c r="M130" i="4"/>
  <c r="J130" i="4"/>
  <c r="J21" i="5"/>
  <c r="J29" i="5"/>
  <c r="J143" i="4"/>
  <c r="M18" i="5"/>
  <c r="M32" i="5"/>
  <c r="M198" i="4"/>
  <c r="J228" i="4"/>
  <c r="M228" i="4"/>
  <c r="P10" i="5"/>
  <c r="J138" i="4"/>
  <c r="J24" i="5"/>
  <c r="M138" i="4"/>
  <c r="J147" i="4"/>
  <c r="J33" i="5"/>
  <c r="M147" i="4"/>
  <c r="M174" i="4"/>
  <c r="J174" i="4"/>
  <c r="M12" i="5"/>
  <c r="M26" i="5"/>
  <c r="M192" i="4"/>
  <c r="M31" i="5"/>
  <c r="M232" i="4"/>
  <c r="P14" i="5"/>
  <c r="J232" i="4"/>
  <c r="P23" i="5"/>
  <c r="J249" i="4"/>
  <c r="P31" i="5"/>
  <c r="M249" i="4"/>
  <c r="S6" i="5"/>
  <c r="S16" i="5"/>
  <c r="M286" i="4"/>
  <c r="J286" i="4"/>
  <c r="S18" i="5"/>
  <c r="M294" i="4"/>
  <c r="J294" i="4"/>
  <c r="M328" i="4"/>
  <c r="V6" i="5"/>
  <c r="J328" i="4"/>
  <c r="P18" i="5"/>
  <c r="M236" i="4"/>
  <c r="J236" i="4"/>
  <c r="J244" i="4"/>
  <c r="S5" i="5"/>
  <c r="M275" i="4"/>
  <c r="J295" i="4"/>
  <c r="S25" i="5"/>
  <c r="M295" i="4"/>
  <c r="M302" i="4"/>
  <c r="J302" i="4"/>
  <c r="S32" i="5"/>
  <c r="J330" i="4"/>
  <c r="J340" i="4"/>
  <c r="M340" i="4"/>
  <c r="M349" i="4"/>
  <c r="M355" i="4"/>
  <c r="J355" i="4"/>
  <c r="V33" i="5"/>
  <c r="Y10" i="5"/>
  <c r="J384" i="4"/>
  <c r="M384" i="4"/>
  <c r="Y19" i="5"/>
  <c r="M393" i="4"/>
  <c r="J393" i="4"/>
  <c r="Y26" i="5"/>
  <c r="J400" i="4"/>
  <c r="M400" i="4"/>
  <c r="J433" i="4"/>
  <c r="AB7" i="5"/>
  <c r="M433" i="4"/>
  <c r="M439" i="4"/>
  <c r="J439" i="4"/>
  <c r="AB13" i="5"/>
  <c r="AB17" i="5"/>
  <c r="J443" i="4"/>
  <c r="J452" i="4"/>
  <c r="AE11" i="5"/>
  <c r="J489" i="4"/>
  <c r="J495" i="4"/>
  <c r="AE17" i="5"/>
  <c r="M495" i="4"/>
  <c r="J497" i="4"/>
  <c r="M497" i="4"/>
  <c r="J339" i="4"/>
  <c r="V23" i="5"/>
  <c r="J345" i="4"/>
  <c r="M345" i="4"/>
  <c r="J383" i="4"/>
  <c r="M388" i="4"/>
  <c r="Y14" i="5"/>
  <c r="J388" i="4"/>
  <c r="J394" i="4"/>
  <c r="M403" i="4"/>
  <c r="Y29" i="5"/>
  <c r="J403" i="4"/>
  <c r="J406" i="4"/>
  <c r="Y32" i="5"/>
  <c r="M406" i="4"/>
  <c r="J431" i="4"/>
  <c r="AB5" i="5"/>
  <c r="AB8" i="5"/>
  <c r="M434" i="4"/>
  <c r="J434" i="4"/>
  <c r="J440" i="4"/>
  <c r="M440" i="4"/>
  <c r="AB14" i="5"/>
  <c r="M444" i="4"/>
  <c r="AB18" i="5"/>
  <c r="J444" i="4"/>
  <c r="AB21" i="5"/>
  <c r="M447" i="4"/>
  <c r="J447" i="4"/>
  <c r="J450" i="4"/>
  <c r="AB29" i="5"/>
  <c r="M455" i="4"/>
  <c r="J455" i="4"/>
  <c r="AB32" i="5"/>
  <c r="J458" i="4"/>
  <c r="M458" i="4"/>
  <c r="J482" i="4"/>
  <c r="AA8" i="14"/>
  <c r="W40" i="14"/>
  <c r="AE7" i="5"/>
  <c r="M492" i="4"/>
  <c r="J492" i="4"/>
  <c r="AE14" i="5"/>
  <c r="M499" i="4"/>
  <c r="J499" i="4"/>
  <c r="AE21" i="5"/>
  <c r="J503" i="4"/>
  <c r="AE25" i="5"/>
  <c r="AE33" i="5"/>
  <c r="AA8" i="15"/>
  <c r="AA9" i="15" s="1"/>
  <c r="AA10" i="15" s="1"/>
  <c r="AA11" i="15" s="1"/>
  <c r="AA12" i="15" s="1"/>
  <c r="AA13" i="15" s="1"/>
  <c r="AA14" i="15" s="1"/>
  <c r="AA15" i="15" s="1"/>
  <c r="AA16" i="15" s="1"/>
  <c r="AA17" i="15" s="1"/>
  <c r="AA18" i="15" s="1"/>
  <c r="AA19" i="15" s="1"/>
  <c r="AA20" i="15" s="1"/>
  <c r="AA21" i="15" s="1"/>
  <c r="AA22" i="15" s="1"/>
  <c r="AA23" i="15" s="1"/>
  <c r="AA24" i="15" s="1"/>
  <c r="AA25" i="15" s="1"/>
  <c r="AA26" i="15" s="1"/>
  <c r="AA27" i="15" s="1"/>
  <c r="AA28" i="15" s="1"/>
  <c r="AA29" i="15" s="1"/>
  <c r="AA30" i="15" s="1"/>
  <c r="AA31" i="15" s="1"/>
  <c r="AA32" i="15" s="1"/>
  <c r="AA33" i="15" s="1"/>
  <c r="AA34" i="15" s="1"/>
  <c r="AA35" i="15" s="1"/>
  <c r="AA36" i="15" s="1"/>
  <c r="AA37" i="15" s="1"/>
  <c r="M534" i="4"/>
  <c r="AH4" i="5"/>
  <c r="J534" i="4"/>
  <c r="M540" i="4"/>
  <c r="AH13" i="5"/>
  <c r="M543" i="4"/>
  <c r="J543" i="4"/>
  <c r="M547" i="4"/>
  <c r="J547" i="4"/>
  <c r="AH17" i="5"/>
  <c r="M555" i="4"/>
  <c r="AH25" i="5"/>
  <c r="J555" i="4"/>
  <c r="J587" i="4"/>
  <c r="M589" i="4"/>
  <c r="J589" i="4"/>
  <c r="AK7" i="5"/>
  <c r="M594" i="4"/>
  <c r="M597" i="4"/>
  <c r="J597" i="4"/>
  <c r="AK15" i="5"/>
  <c r="M599" i="4"/>
  <c r="AK19" i="5"/>
  <c r="M601" i="4"/>
  <c r="J601" i="4"/>
  <c r="AK24" i="5"/>
  <c r="M608" i="4"/>
  <c r="AK26" i="5"/>
  <c r="J608" i="4"/>
  <c r="M498" i="4"/>
  <c r="AE20" i="5"/>
  <c r="J498" i="4"/>
  <c r="J501" i="4"/>
  <c r="AE23" i="5"/>
  <c r="M501" i="4"/>
  <c r="M505" i="4"/>
  <c r="M507" i="4"/>
  <c r="J507" i="4"/>
  <c r="AE29" i="5"/>
  <c r="J510" i="4"/>
  <c r="AE32" i="5"/>
  <c r="M510" i="4"/>
  <c r="AH6" i="5"/>
  <c r="J536" i="4"/>
  <c r="AH9" i="5"/>
  <c r="M544" i="4"/>
  <c r="AH14" i="5"/>
  <c r="J548" i="4"/>
  <c r="M548" i="4"/>
  <c r="AH18" i="5"/>
  <c r="J551" i="4"/>
  <c r="AH21" i="5"/>
  <c r="M551" i="4"/>
  <c r="M554" i="4"/>
  <c r="M557" i="4"/>
  <c r="AH27" i="5"/>
  <c r="AH30" i="5"/>
  <c r="M560" i="4"/>
  <c r="J560" i="4"/>
  <c r="AH32" i="5"/>
  <c r="J562" i="4"/>
  <c r="J586" i="4"/>
  <c r="AK4" i="5"/>
  <c r="AA8" i="16"/>
  <c r="M586" i="4"/>
  <c r="J591" i="4"/>
  <c r="AK9" i="5"/>
  <c r="M591" i="4"/>
  <c r="AK11" i="5"/>
  <c r="AK20" i="5"/>
  <c r="M602" i="4"/>
  <c r="J602" i="4"/>
  <c r="AK22" i="5"/>
  <c r="M613" i="4"/>
  <c r="J613" i="4"/>
  <c r="D8" i="5"/>
  <c r="J18" i="4"/>
  <c r="M18" i="4"/>
  <c r="M26" i="4"/>
  <c r="D16" i="5"/>
  <c r="D17" i="5"/>
  <c r="M22" i="4"/>
  <c r="D12" i="5"/>
  <c r="J22" i="4"/>
  <c r="M36" i="4"/>
  <c r="M67" i="4"/>
  <c r="G5" i="5"/>
  <c r="AA9" i="17"/>
  <c r="AA10" i="17" s="1"/>
  <c r="AA11" i="17" s="1"/>
  <c r="AA12" i="17" s="1"/>
  <c r="AA13" i="17" s="1"/>
  <c r="AA14" i="17" s="1"/>
  <c r="AA15" i="17" s="1"/>
  <c r="AA16" i="17" s="1"/>
  <c r="AA17" i="17" s="1"/>
  <c r="AA18" i="17" s="1"/>
  <c r="AA19" i="17" s="1"/>
  <c r="AA20" i="17" s="1"/>
  <c r="AA21" i="17" s="1"/>
  <c r="AA22" i="17" s="1"/>
  <c r="AA23" i="17" s="1"/>
  <c r="AA24" i="17" s="1"/>
  <c r="AA25" i="17" s="1"/>
  <c r="AA26" i="17" s="1"/>
  <c r="AA27" i="17" s="1"/>
  <c r="AA28" i="17" s="1"/>
  <c r="AA29" i="17" s="1"/>
  <c r="AA30" i="17" s="1"/>
  <c r="AA31" i="17" s="1"/>
  <c r="AA32" i="17" s="1"/>
  <c r="AA33" i="17" s="1"/>
  <c r="AA34" i="17" s="1"/>
  <c r="AA35" i="17" s="1"/>
  <c r="AA36" i="17" s="1"/>
  <c r="J67" i="4"/>
  <c r="M76" i="4"/>
  <c r="J76" i="4"/>
  <c r="M38" i="4"/>
  <c r="J38" i="4"/>
  <c r="D28" i="5"/>
  <c r="M44" i="4"/>
  <c r="D34" i="5"/>
  <c r="G8" i="5"/>
  <c r="M80" i="4"/>
  <c r="G18" i="5"/>
  <c r="M88" i="4"/>
  <c r="J121" i="4"/>
  <c r="J7" i="5"/>
  <c r="J18" i="5"/>
  <c r="J83" i="4"/>
  <c r="M83" i="4"/>
  <c r="G21" i="5"/>
  <c r="M93" i="4"/>
  <c r="J93" i="4"/>
  <c r="G31" i="5"/>
  <c r="J10" i="5"/>
  <c r="M124" i="4"/>
  <c r="J124" i="4"/>
  <c r="M127" i="4"/>
  <c r="M133" i="4"/>
  <c r="J133" i="4"/>
  <c r="J26" i="5"/>
  <c r="M140" i="4"/>
  <c r="J140" i="4"/>
  <c r="M6" i="5"/>
  <c r="M172" i="4"/>
  <c r="J172" i="4"/>
  <c r="M21" i="5"/>
  <c r="J187" i="4"/>
  <c r="M187" i="4"/>
  <c r="J226" i="4"/>
  <c r="P8" i="5"/>
  <c r="M136" i="4"/>
  <c r="M144" i="4"/>
  <c r="J144" i="4"/>
  <c r="J30" i="5"/>
  <c r="J171" i="4"/>
  <c r="J176" i="4"/>
  <c r="M10" i="5"/>
  <c r="M176" i="4"/>
  <c r="J180" i="4"/>
  <c r="J183" i="4"/>
  <c r="M17" i="5"/>
  <c r="M183" i="4"/>
  <c r="M194" i="4"/>
  <c r="M28" i="5"/>
  <c r="J194" i="4"/>
  <c r="M224" i="4"/>
  <c r="P6" i="5"/>
  <c r="J224" i="4"/>
  <c r="J237" i="4"/>
  <c r="M237" i="4"/>
  <c r="P19" i="5"/>
  <c r="J247" i="4"/>
  <c r="P29" i="5"/>
  <c r="W40" i="10"/>
  <c r="S4" i="5"/>
  <c r="M278" i="4"/>
  <c r="S8" i="5"/>
  <c r="J278" i="4"/>
  <c r="S9" i="5"/>
  <c r="J292" i="4"/>
  <c r="S22" i="5"/>
  <c r="M292" i="4"/>
  <c r="J297" i="4"/>
  <c r="M297" i="4"/>
  <c r="S27" i="5"/>
  <c r="P15" i="5"/>
  <c r="J233" i="4"/>
  <c r="M233" i="4"/>
  <c r="J239" i="4"/>
  <c r="P28" i="5"/>
  <c r="M246" i="4"/>
  <c r="J246" i="4"/>
  <c r="S20" i="5"/>
  <c r="M290" i="4"/>
  <c r="J290" i="4"/>
  <c r="M300" i="4"/>
  <c r="J300" i="4"/>
  <c r="M327" i="4"/>
  <c r="V5" i="5"/>
  <c r="J327" i="4"/>
  <c r="V12" i="5"/>
  <c r="J334" i="4"/>
  <c r="V24" i="5"/>
  <c r="J346" i="4"/>
  <c r="M346" i="4"/>
  <c r="M353" i="4"/>
  <c r="J353" i="4"/>
  <c r="Y6" i="5"/>
  <c r="Y16" i="5"/>
  <c r="M390" i="4"/>
  <c r="M398" i="4"/>
  <c r="Y30" i="5"/>
  <c r="M404" i="4"/>
  <c r="J404" i="4"/>
  <c r="J436" i="4"/>
  <c r="AB10" i="5"/>
  <c r="M436" i="4"/>
  <c r="M448" i="4"/>
  <c r="AB22" i="5"/>
  <c r="AB30" i="5"/>
  <c r="M456" i="4"/>
  <c r="J456" i="4"/>
  <c r="AE8" i="5"/>
  <c r="M486" i="4"/>
  <c r="J486" i="4"/>
  <c r="AE13" i="5"/>
  <c r="J491" i="4"/>
  <c r="M491" i="4"/>
  <c r="J333" i="4"/>
  <c r="M333" i="4"/>
  <c r="V11" i="5"/>
  <c r="V14" i="5"/>
  <c r="M336" i="4"/>
  <c r="J336" i="4"/>
  <c r="V20" i="5"/>
  <c r="M342" i="4"/>
  <c r="J342" i="4"/>
  <c r="J350" i="4"/>
  <c r="Y5" i="5"/>
  <c r="J379" i="4"/>
  <c r="M379" i="4"/>
  <c r="Y12" i="5"/>
  <c r="Y23" i="5"/>
  <c r="J397" i="4"/>
  <c r="M397" i="4"/>
  <c r="AR4" i="5"/>
  <c r="J17" i="4"/>
  <c r="M17" i="4"/>
  <c r="D7" i="5"/>
  <c r="M20" i="4"/>
  <c r="D10" i="5"/>
  <c r="J20" i="4"/>
  <c r="D15" i="5"/>
  <c r="M15" i="4"/>
  <c r="BC9" i="3"/>
  <c r="AA9" i="3"/>
  <c r="J15" i="4"/>
  <c r="D5" i="5"/>
  <c r="M24" i="4"/>
  <c r="D14" i="5"/>
  <c r="J24" i="4"/>
  <c r="D21" i="5"/>
  <c r="M34" i="4"/>
  <c r="D24" i="5"/>
  <c r="J34" i="4"/>
  <c r="AA10" i="3"/>
  <c r="AA11" i="3" s="1"/>
  <c r="AA12" i="3" s="1"/>
  <c r="AA13" i="3" s="1"/>
  <c r="AA14" i="3" s="1"/>
  <c r="AA15" i="3" s="1"/>
  <c r="AA16" i="3" s="1"/>
  <c r="AA17" i="3" s="1"/>
  <c r="AA18" i="3" s="1"/>
  <c r="AA19" i="3" s="1"/>
  <c r="AA20" i="3" s="1"/>
  <c r="AA21" i="3" s="1"/>
  <c r="AA22" i="3" s="1"/>
  <c r="AA23" i="3" s="1"/>
  <c r="AA24" i="3" s="1"/>
  <c r="AA25" i="3" s="1"/>
  <c r="AA26" i="3" s="1"/>
  <c r="AA27" i="3" s="1"/>
  <c r="AA28" i="3" s="1"/>
  <c r="AA29" i="3" s="1"/>
  <c r="AA30" i="3" s="1"/>
  <c r="AA31" i="3" s="1"/>
  <c r="AA32" i="3" s="1"/>
  <c r="AA33" i="3" s="1"/>
  <c r="AA34" i="3" s="1"/>
  <c r="AA35" i="3" s="1"/>
  <c r="AA36" i="3" s="1"/>
  <c r="AA37" i="3" s="1"/>
  <c r="AA38" i="3" s="1"/>
  <c r="M16" i="4"/>
  <c r="D13" i="5"/>
  <c r="J23" i="4"/>
  <c r="M23" i="4"/>
  <c r="M29" i="4"/>
  <c r="M32" i="4"/>
  <c r="D22" i="5"/>
  <c r="J32" i="4"/>
  <c r="J40" i="4"/>
  <c r="D30" i="5"/>
  <c r="M40" i="4"/>
  <c r="M43" i="4"/>
  <c r="J43" i="4"/>
  <c r="J69" i="4"/>
  <c r="M72" i="4"/>
  <c r="J72" i="4"/>
  <c r="G10" i="5"/>
  <c r="J77" i="4"/>
  <c r="G17" i="5"/>
  <c r="J79" i="4"/>
  <c r="M79" i="4"/>
  <c r="J37" i="4"/>
  <c r="D32" i="5"/>
  <c r="M42" i="4"/>
  <c r="M68" i="4"/>
  <c r="J68" i="4"/>
  <c r="G6" i="5"/>
  <c r="G11" i="5"/>
  <c r="J75" i="4"/>
  <c r="M75" i="4"/>
  <c r="G13" i="5"/>
  <c r="J81" i="4"/>
  <c r="G19" i="5"/>
  <c r="M81" i="4"/>
  <c r="M87" i="4"/>
  <c r="J87" i="4"/>
  <c r="G25" i="5"/>
  <c r="M89" i="4"/>
  <c r="M92" i="4"/>
  <c r="G30" i="5"/>
  <c r="J92" i="4"/>
  <c r="M122" i="4"/>
  <c r="J15" i="5"/>
  <c r="J129" i="4"/>
  <c r="M129" i="4"/>
  <c r="J82" i="4"/>
  <c r="J84" i="4"/>
  <c r="M84" i="4"/>
  <c r="G22" i="5"/>
  <c r="G28" i="5"/>
  <c r="M90" i="4"/>
  <c r="J90" i="4"/>
  <c r="J119" i="4"/>
  <c r="M119" i="4"/>
  <c r="J9" i="5"/>
  <c r="M123" i="4"/>
  <c r="J125" i="4"/>
  <c r="J11" i="5"/>
  <c r="M125" i="4"/>
  <c r="J128" i="4"/>
  <c r="J14" i="5"/>
  <c r="M128" i="4"/>
  <c r="M131" i="4"/>
  <c r="M134" i="4"/>
  <c r="J20" i="5"/>
  <c r="J134" i="4"/>
  <c r="M139" i="4"/>
  <c r="J27" i="5"/>
  <c r="J141" i="4"/>
  <c r="M141" i="4"/>
  <c r="J145" i="4"/>
  <c r="M145" i="4"/>
  <c r="J31" i="5"/>
  <c r="AA8" i="8"/>
  <c r="AA9" i="8" s="1"/>
  <c r="AA10" i="8" s="1"/>
  <c r="AA11" i="8" s="1"/>
  <c r="AA12" i="8" s="1"/>
  <c r="AA13" i="8" s="1"/>
  <c r="AA14" i="8" s="1"/>
  <c r="AA15" i="8" s="1"/>
  <c r="AA16" i="8" s="1"/>
  <c r="AA17" i="8" s="1"/>
  <c r="AA18" i="8" s="1"/>
  <c r="AA19" i="8" s="1"/>
  <c r="AA20" i="8" s="1"/>
  <c r="AA21" i="8" s="1"/>
  <c r="AA22" i="8" s="1"/>
  <c r="AA23" i="8" s="1"/>
  <c r="AA24" i="8" s="1"/>
  <c r="AA25" i="8" s="1"/>
  <c r="AA26" i="8" s="1"/>
  <c r="AA27" i="8" s="1"/>
  <c r="AA28" i="8" s="1"/>
  <c r="AA29" i="8" s="1"/>
  <c r="AA30" i="8" s="1"/>
  <c r="AA31" i="8" s="1"/>
  <c r="AA32" i="8" s="1"/>
  <c r="AA33" i="8" s="1"/>
  <c r="AA34" i="8" s="1"/>
  <c r="AA35" i="8" s="1"/>
  <c r="AA36" i="8" s="1"/>
  <c r="AA37" i="8" s="1"/>
  <c r="M4" i="5"/>
  <c r="W40" i="8"/>
  <c r="M181" i="4"/>
  <c r="M185" i="4"/>
  <c r="M19" i="5"/>
  <c r="M29" i="5"/>
  <c r="M195" i="4"/>
  <c r="J195" i="4"/>
  <c r="P7" i="5"/>
  <c r="M225" i="4"/>
  <c r="J225" i="4"/>
  <c r="M227" i="4"/>
  <c r="M229" i="4"/>
  <c r="J229" i="4"/>
  <c r="P11" i="5"/>
  <c r="J23" i="5"/>
  <c r="M142" i="4"/>
  <c r="J28" i="5"/>
  <c r="J32" i="5"/>
  <c r="M146" i="4"/>
  <c r="J146" i="4"/>
  <c r="J34" i="5"/>
  <c r="J148" i="4"/>
  <c r="M7" i="5"/>
  <c r="M173" i="4"/>
  <c r="J173" i="4"/>
  <c r="M9" i="5"/>
  <c r="J175" i="4"/>
  <c r="J177" i="4"/>
  <c r="M177" i="4"/>
  <c r="M11" i="5"/>
  <c r="M13" i="5"/>
  <c r="J179" i="4"/>
  <c r="M179" i="4"/>
  <c r="M182" i="4"/>
  <c r="J186" i="4"/>
  <c r="M186" i="4"/>
  <c r="M20" i="5"/>
  <c r="J193" i="4"/>
  <c r="M27" i="5"/>
  <c r="M193" i="4"/>
  <c r="M196" i="4"/>
  <c r="J196" i="4"/>
  <c r="M199" i="4"/>
  <c r="M223" i="4"/>
  <c r="AA9" i="9"/>
  <c r="AA10" i="9" s="1"/>
  <c r="AA11" i="9" s="1"/>
  <c r="P5" i="5"/>
  <c r="J223" i="4"/>
  <c r="W40" i="9"/>
  <c r="P12" i="5"/>
  <c r="J235" i="4"/>
  <c r="P17" i="5"/>
  <c r="M240" i="4"/>
  <c r="M243" i="4"/>
  <c r="J243" i="4"/>
  <c r="P25" i="5"/>
  <c r="J248" i="4"/>
  <c r="P30" i="5"/>
  <c r="M248" i="4"/>
  <c r="J250" i="4"/>
  <c r="M250" i="4"/>
  <c r="M277" i="4"/>
  <c r="S7" i="5"/>
  <c r="J277" i="4"/>
  <c r="S10" i="5"/>
  <c r="J280" i="4"/>
  <c r="M285" i="4"/>
  <c r="S15" i="5"/>
  <c r="J285" i="4"/>
  <c r="J287" i="4"/>
  <c r="M287" i="4"/>
  <c r="S19" i="5"/>
  <c r="M289" i="4"/>
  <c r="J289" i="4"/>
  <c r="M293" i="4"/>
  <c r="S23" i="5"/>
  <c r="M296" i="4"/>
  <c r="J296" i="4"/>
  <c r="S26" i="5"/>
  <c r="S28" i="5"/>
  <c r="J298" i="4"/>
  <c r="V4" i="5"/>
  <c r="J326" i="4"/>
  <c r="P13" i="5"/>
  <c r="M231" i="4"/>
  <c r="M234" i="4"/>
  <c r="M238" i="4"/>
  <c r="P20" i="5"/>
  <c r="J242" i="4"/>
  <c r="P24" i="5"/>
  <c r="M242" i="4"/>
  <c r="J245" i="4"/>
  <c r="M245" i="4"/>
  <c r="P27" i="5"/>
  <c r="J252" i="4"/>
  <c r="M284" i="4"/>
  <c r="J284" i="4"/>
  <c r="S14" i="5"/>
  <c r="M291" i="4"/>
  <c r="J299" i="4"/>
  <c r="S29" i="5"/>
  <c r="M301" i="4"/>
  <c r="J301" i="4"/>
  <c r="S31" i="5"/>
  <c r="M303" i="4"/>
  <c r="J303" i="4"/>
  <c r="V7" i="5"/>
  <c r="M331" i="4"/>
  <c r="J331" i="4"/>
  <c r="V9" i="5"/>
  <c r="V16" i="5"/>
  <c r="J338" i="4"/>
  <c r="M338" i="4"/>
  <c r="J344" i="4"/>
  <c r="V22" i="5"/>
  <c r="V25" i="5"/>
  <c r="J347" i="4"/>
  <c r="M347" i="4"/>
  <c r="M352" i="4"/>
  <c r="V30" i="5"/>
  <c r="J352" i="4"/>
  <c r="V32" i="5"/>
  <c r="M356" i="4"/>
  <c r="J356" i="4"/>
  <c r="V34" i="5"/>
  <c r="Y7" i="5"/>
  <c r="Y15" i="5"/>
  <c r="J389" i="4"/>
  <c r="M389" i="4"/>
  <c r="J391" i="4"/>
  <c r="J396" i="4"/>
  <c r="M396" i="4"/>
  <c r="Y22" i="5"/>
  <c r="Y25" i="5"/>
  <c r="J402" i="4"/>
  <c r="M402" i="4"/>
  <c r="J408" i="4"/>
  <c r="M430" i="4"/>
  <c r="J430" i="4"/>
  <c r="W40" i="13"/>
  <c r="J435" i="4"/>
  <c r="M438" i="4"/>
  <c r="J438" i="4"/>
  <c r="J442" i="4"/>
  <c r="M442" i="4"/>
  <c r="AB16" i="5"/>
  <c r="AB19" i="5"/>
  <c r="M445" i="4"/>
  <c r="J445" i="4"/>
  <c r="AB25" i="5"/>
  <c r="M451" i="4"/>
  <c r="J451" i="4"/>
  <c r="AB27" i="5"/>
  <c r="M453" i="4"/>
  <c r="J459" i="4"/>
  <c r="J487" i="4"/>
  <c r="AE9" i="5"/>
  <c r="M487" i="4"/>
  <c r="M490" i="4"/>
  <c r="J493" i="4"/>
  <c r="M493" i="4"/>
  <c r="M496" i="4"/>
  <c r="AE18" i="5"/>
  <c r="J496" i="4"/>
  <c r="J332" i="4"/>
  <c r="M332" i="4"/>
  <c r="M335" i="4"/>
  <c r="V15" i="5"/>
  <c r="M337" i="4"/>
  <c r="J337" i="4"/>
  <c r="V19" i="5"/>
  <c r="M343" i="4"/>
  <c r="J343" i="4"/>
  <c r="M348" i="4"/>
  <c r="V26" i="5"/>
  <c r="J348" i="4"/>
  <c r="J351" i="4"/>
  <c r="M351" i="4"/>
  <c r="Y4" i="5"/>
  <c r="AA8" i="12"/>
  <c r="AA9" i="12" s="1"/>
  <c r="AA10" i="12" s="1"/>
  <c r="AA11" i="12" s="1"/>
  <c r="AA12" i="12" s="1"/>
  <c r="AA13" i="12" s="1"/>
  <c r="AA14" i="12" s="1"/>
  <c r="AA15" i="12" s="1"/>
  <c r="AA16" i="12" s="1"/>
  <c r="AA17" i="12" s="1"/>
  <c r="AA18" i="12" s="1"/>
  <c r="AA19" i="12" s="1"/>
  <c r="AA20" i="12" s="1"/>
  <c r="AA21" i="12" s="1"/>
  <c r="AA22" i="12" s="1"/>
  <c r="AA23" i="12" s="1"/>
  <c r="AA24" i="12" s="1"/>
  <c r="AA25" i="12" s="1"/>
  <c r="AA26" i="12" s="1"/>
  <c r="AA27" i="12" s="1"/>
  <c r="AA28" i="12" s="1"/>
  <c r="AA29" i="12" s="1"/>
  <c r="AA30" i="12" s="1"/>
  <c r="AA31" i="12" s="1"/>
  <c r="AA32" i="12" s="1"/>
  <c r="AA33" i="12" s="1"/>
  <c r="AA34" i="12" s="1"/>
  <c r="AA35" i="12" s="1"/>
  <c r="AA36" i="12" s="1"/>
  <c r="AA37" i="12" s="1"/>
  <c r="AA38" i="12" s="1"/>
  <c r="J382" i="4"/>
  <c r="M382" i="4"/>
  <c r="Y8" i="5"/>
  <c r="J385" i="4"/>
  <c r="M385" i="4"/>
  <c r="Y11" i="5"/>
  <c r="M387" i="4"/>
  <c r="Y13" i="5"/>
  <c r="J392" i="4"/>
  <c r="Y18" i="5"/>
  <c r="M392" i="4"/>
  <c r="J395" i="4"/>
  <c r="M395" i="4"/>
  <c r="Y27" i="5"/>
  <c r="Y31" i="5"/>
  <c r="M405" i="4"/>
  <c r="Y33" i="5"/>
  <c r="M407" i="4"/>
  <c r="J407" i="4"/>
  <c r="AB6" i="5"/>
  <c r="M432" i="4"/>
  <c r="J437" i="4"/>
  <c r="AB15" i="5"/>
  <c r="M441" i="4"/>
  <c r="M446" i="4"/>
  <c r="AB23" i="5"/>
  <c r="J449" i="4"/>
  <c r="M449" i="4"/>
  <c r="AB28" i="5"/>
  <c r="J457" i="4"/>
  <c r="AB31" i="5"/>
  <c r="M483" i="4"/>
  <c r="AA9" i="14"/>
  <c r="AA10" i="14" s="1"/>
  <c r="AA11" i="14" s="1"/>
  <c r="AA12" i="14" s="1"/>
  <c r="AA13" i="14" s="1"/>
  <c r="AA14" i="14" s="1"/>
  <c r="AA15" i="14" s="1"/>
  <c r="AA16" i="14" s="1"/>
  <c r="AA17" i="14" s="1"/>
  <c r="AA18" i="14" s="1"/>
  <c r="AA19" i="14" s="1"/>
  <c r="AA20" i="14" s="1"/>
  <c r="AA21" i="14" s="1"/>
  <c r="AA22" i="14" s="1"/>
  <c r="AA23" i="14" s="1"/>
  <c r="AA24" i="14" s="1"/>
  <c r="AA25" i="14" s="1"/>
  <c r="AA26" i="14" s="1"/>
  <c r="AA27" i="14" s="1"/>
  <c r="AA28" i="14" s="1"/>
  <c r="AA29" i="14" s="1"/>
  <c r="AA30" i="14" s="1"/>
  <c r="AA31" i="14" s="1"/>
  <c r="AA32" i="14" s="1"/>
  <c r="AA33" i="14" s="1"/>
  <c r="AA34" i="14" s="1"/>
  <c r="AA35" i="14" s="1"/>
  <c r="AA36" i="14" s="1"/>
  <c r="AA37" i="14" s="1"/>
  <c r="AA38" i="14" s="1"/>
  <c r="AE5" i="5"/>
  <c r="J483" i="4"/>
  <c r="M488" i="4"/>
  <c r="M494" i="4"/>
  <c r="AE16" i="5"/>
  <c r="J502" i="4"/>
  <c r="M502" i="4"/>
  <c r="AE24" i="5"/>
  <c r="AE30" i="5"/>
  <c r="M508" i="4"/>
  <c r="J508" i="4"/>
  <c r="J538" i="4"/>
  <c r="M538" i="4"/>
  <c r="AH8" i="5"/>
  <c r="AH11" i="5"/>
  <c r="J541" i="4"/>
  <c r="AH16" i="5"/>
  <c r="M550" i="4"/>
  <c r="J550" i="4"/>
  <c r="AH29" i="5"/>
  <c r="M559" i="4"/>
  <c r="J559" i="4"/>
  <c r="M588" i="4"/>
  <c r="J588" i="4"/>
  <c r="J590" i="4"/>
  <c r="AK8" i="5"/>
  <c r="M590" i="4"/>
  <c r="AK13" i="5"/>
  <c r="J595" i="4"/>
  <c r="J598" i="4"/>
  <c r="M598" i="4"/>
  <c r="AK16" i="5"/>
  <c r="AK18" i="5"/>
  <c r="J600" i="4"/>
  <c r="J605" i="4"/>
  <c r="M605" i="4"/>
  <c r="AK23" i="5"/>
  <c r="M607" i="4"/>
  <c r="AK25" i="5"/>
  <c r="J614" i="4"/>
  <c r="AE22" i="5"/>
  <c r="J500" i="4"/>
  <c r="J504" i="4"/>
  <c r="AE26" i="5"/>
  <c r="M504" i="4"/>
  <c r="J506" i="4"/>
  <c r="M506" i="4"/>
  <c r="M509" i="4"/>
  <c r="M535" i="4"/>
  <c r="AH5" i="5"/>
  <c r="J535" i="4"/>
  <c r="AH7" i="5"/>
  <c r="J537" i="4"/>
  <c r="M537" i="4"/>
  <c r="M542" i="4"/>
  <c r="AH12" i="5"/>
  <c r="J542" i="4"/>
  <c r="AH15" i="5"/>
  <c r="M545" i="4"/>
  <c r="M549" i="4"/>
  <c r="M552" i="4"/>
  <c r="J552" i="4"/>
  <c r="AH22" i="5"/>
  <c r="AH26" i="5"/>
  <c r="J556" i="4"/>
  <c r="M556" i="4"/>
  <c r="J558" i="4"/>
  <c r="M558" i="4"/>
  <c r="AH31" i="5"/>
  <c r="J561" i="4"/>
  <c r="M561" i="4"/>
  <c r="M563" i="4"/>
  <c r="J563" i="4"/>
  <c r="J592" i="4"/>
  <c r="AK10" i="5"/>
  <c r="M592" i="4"/>
  <c r="M596" i="4"/>
  <c r="AK14" i="5"/>
  <c r="M603" i="4"/>
  <c r="J603" i="4"/>
  <c r="AK21" i="5"/>
  <c r="M612" i="4"/>
  <c r="J612" i="4"/>
  <c r="AK30" i="5"/>
  <c r="M615" i="4"/>
  <c r="J615" i="4"/>
  <c r="AK33" i="5"/>
  <c r="J549" i="4" l="1"/>
  <c r="AE31" i="5"/>
  <c r="AK32" i="5"/>
  <c r="J546" i="4"/>
  <c r="AE10" i="5"/>
  <c r="M454" i="4"/>
  <c r="J446" i="4"/>
  <c r="M437" i="4"/>
  <c r="J401" i="4"/>
  <c r="W40" i="12"/>
  <c r="M378" i="4"/>
  <c r="J341" i="4"/>
  <c r="J335" i="4"/>
  <c r="AE12" i="5"/>
  <c r="AB33" i="5"/>
  <c r="M435" i="4"/>
  <c r="AB4" i="5"/>
  <c r="Y34" i="5"/>
  <c r="J399" i="4"/>
  <c r="M391" i="4"/>
  <c r="M381" i="4"/>
  <c r="M354" i="4"/>
  <c r="J329" i="4"/>
  <c r="S21" i="5"/>
  <c r="P34" i="5"/>
  <c r="J234" i="4"/>
  <c r="W40" i="11"/>
  <c r="M326" i="4"/>
  <c r="J240" i="4"/>
  <c r="J230" i="4"/>
  <c r="AA12" i="9"/>
  <c r="AA13" i="9" s="1"/>
  <c r="AA14" i="9" s="1"/>
  <c r="AA15" i="9" s="1"/>
  <c r="AA16" i="9" s="1"/>
  <c r="AA17" i="9" s="1"/>
  <c r="AA18" i="9" s="1"/>
  <c r="AA19" i="9" s="1"/>
  <c r="AA20" i="9" s="1"/>
  <c r="AA21" i="9" s="1"/>
  <c r="AA22" i="9" s="1"/>
  <c r="AA23" i="9" s="1"/>
  <c r="AA24" i="9" s="1"/>
  <c r="AA25" i="9" s="1"/>
  <c r="AA26" i="9" s="1"/>
  <c r="AA27" i="9" s="1"/>
  <c r="AA28" i="9" s="1"/>
  <c r="AA29" i="9" s="1"/>
  <c r="AA30" i="9" s="1"/>
  <c r="AA31" i="9" s="1"/>
  <c r="AA32" i="9" s="1"/>
  <c r="AA33" i="9" s="1"/>
  <c r="AA34" i="9" s="1"/>
  <c r="AA35" i="9" s="1"/>
  <c r="AA36" i="9" s="1"/>
  <c r="AA37" i="9" s="1"/>
  <c r="AA38" i="9" s="1"/>
  <c r="J199" i="4"/>
  <c r="J182" i="4"/>
  <c r="M137" i="4"/>
  <c r="P9" i="5"/>
  <c r="J181" i="4"/>
  <c r="M170" i="4"/>
  <c r="J25" i="5"/>
  <c r="J17" i="5"/>
  <c r="J5" i="5"/>
  <c r="M82" i="4"/>
  <c r="J8" i="5"/>
  <c r="G27" i="5"/>
  <c r="J73" i="4"/>
  <c r="D27" i="5"/>
  <c r="M77" i="4"/>
  <c r="M69" i="4"/>
  <c r="J29" i="4"/>
  <c r="J16" i="4"/>
  <c r="BC10" i="3"/>
  <c r="BD10" i="3" s="1"/>
  <c r="D6" i="5"/>
  <c r="J31" i="4"/>
  <c r="J25" i="4"/>
  <c r="M386" i="4"/>
  <c r="V28" i="5"/>
  <c r="Y24" i="5"/>
  <c r="J380" i="4"/>
  <c r="P21" i="5"/>
  <c r="M279" i="4"/>
  <c r="M274" i="4"/>
  <c r="AA8" i="10"/>
  <c r="AA9" i="10" s="1"/>
  <c r="AA10" i="10" s="1"/>
  <c r="AA11" i="10" s="1"/>
  <c r="AA12" i="10" s="1"/>
  <c r="AA13" i="10" s="1"/>
  <c r="AA14" i="10" s="1"/>
  <c r="AA15" i="10" s="1"/>
  <c r="AA16" i="10" s="1"/>
  <c r="AA17" i="10" s="1"/>
  <c r="AA18" i="10" s="1"/>
  <c r="AA19" i="10" s="1"/>
  <c r="AA20" i="10" s="1"/>
  <c r="AA21" i="10" s="1"/>
  <c r="AA22" i="10" s="1"/>
  <c r="AA23" i="10" s="1"/>
  <c r="AA24" i="10" s="1"/>
  <c r="AA25" i="10" s="1"/>
  <c r="AA26" i="10" s="1"/>
  <c r="AA27" i="10" s="1"/>
  <c r="AA28" i="10" s="1"/>
  <c r="AA29" i="10" s="1"/>
  <c r="AA30" i="10" s="1"/>
  <c r="AA31" i="10" s="1"/>
  <c r="AA32" i="10" s="1"/>
  <c r="AA33" i="10" s="1"/>
  <c r="AA34" i="10" s="1"/>
  <c r="AA35" i="10" s="1"/>
  <c r="AA36" i="10" s="1"/>
  <c r="AA37" i="10" s="1"/>
  <c r="M180" i="4"/>
  <c r="M5" i="5"/>
  <c r="J22" i="5"/>
  <c r="J127" i="4"/>
  <c r="M132" i="4"/>
  <c r="J88" i="4"/>
  <c r="J70" i="4"/>
  <c r="D26" i="5"/>
  <c r="J27" i="4"/>
  <c r="J604" i="4"/>
  <c r="J593" i="4"/>
  <c r="W40" i="16"/>
  <c r="AA9" i="16"/>
  <c r="AA10" i="16" s="1"/>
  <c r="AA11" i="16" s="1"/>
  <c r="AA12" i="16" s="1"/>
  <c r="AA13" i="16" s="1"/>
  <c r="AA14" i="16" s="1"/>
  <c r="AA15" i="16" s="1"/>
  <c r="AA16" i="16" s="1"/>
  <c r="AA17" i="16" s="1"/>
  <c r="AA18" i="16" s="1"/>
  <c r="AA19" i="16" s="1"/>
  <c r="AA20" i="16" s="1"/>
  <c r="AA21" i="16" s="1"/>
  <c r="AA22" i="16" s="1"/>
  <c r="AA23" i="16" s="1"/>
  <c r="AA24" i="16" s="1"/>
  <c r="AA25" i="16" s="1"/>
  <c r="AA26" i="16" s="1"/>
  <c r="AA27" i="16" s="1"/>
  <c r="AA28" i="16" s="1"/>
  <c r="AA29" i="16" s="1"/>
  <c r="AA30" i="16" s="1"/>
  <c r="AA31" i="16" s="1"/>
  <c r="AA32" i="16" s="1"/>
  <c r="AA33" i="16" s="1"/>
  <c r="AA34" i="16" s="1"/>
  <c r="AA35" i="16" s="1"/>
  <c r="AA36" i="16" s="1"/>
  <c r="AA37" i="16" s="1"/>
  <c r="AA38" i="16" s="1"/>
  <c r="J554" i="4"/>
  <c r="J539" i="4"/>
  <c r="M536" i="4"/>
  <c r="J505" i="4"/>
  <c r="J606" i="4"/>
  <c r="J599" i="4"/>
  <c r="AK12" i="5"/>
  <c r="AK5" i="5"/>
  <c r="J540" i="4"/>
  <c r="M511" i="4"/>
  <c r="M485" i="4"/>
  <c r="M482" i="4"/>
  <c r="M450" i="4"/>
  <c r="M394" i="4"/>
  <c r="M383" i="4"/>
  <c r="V17" i="5"/>
  <c r="AB26" i="5"/>
  <c r="J349" i="4"/>
  <c r="V8" i="5"/>
  <c r="P26" i="5"/>
  <c r="J288" i="4"/>
  <c r="M276" i="4"/>
  <c r="M241" i="4"/>
  <c r="J197" i="4"/>
  <c r="M178" i="4"/>
  <c r="M184" i="4"/>
  <c r="J135" i="4"/>
  <c r="M120" i="4"/>
  <c r="J4" i="5"/>
  <c r="J85" i="4"/>
  <c r="G4" i="5"/>
  <c r="AS6" i="5"/>
  <c r="W41" i="8"/>
  <c r="W39" i="9" s="1"/>
  <c r="W41" i="9" s="1"/>
  <c r="W39" i="10" s="1"/>
  <c r="W41" i="10" s="1"/>
  <c r="W39" i="11" s="1"/>
  <c r="W41" i="11" s="1"/>
  <c r="W39" i="12" s="1"/>
  <c r="W41" i="12" s="1"/>
  <c r="W39" i="13" s="1"/>
  <c r="W41" i="13" s="1"/>
  <c r="W39" i="14" s="1"/>
  <c r="W41" i="14" s="1"/>
  <c r="W39" i="15" s="1"/>
  <c r="W41" i="15" s="1"/>
  <c r="W39" i="16" s="1"/>
  <c r="W41" i="16" s="1"/>
  <c r="J3" i="1" s="1"/>
  <c r="R14" i="1" s="1"/>
  <c r="K3" i="1" s="1"/>
  <c r="AS5" i="5"/>
  <c r="BD9" i="3"/>
  <c r="BC11" i="3" l="1"/>
  <c r="AR5" i="5"/>
  <c r="AQ5" i="5"/>
  <c r="BD11" i="3"/>
  <c r="AS7" i="5"/>
  <c r="BC12" i="3"/>
  <c r="AR6" i="5"/>
  <c r="AQ6" i="5"/>
  <c r="AS8" i="5" l="1"/>
  <c r="BD12" i="3"/>
  <c r="BC13" i="3"/>
  <c r="AQ7" i="5"/>
  <c r="AR7" i="5"/>
  <c r="AQ8" i="5" l="1"/>
  <c r="AR8" i="5"/>
  <c r="BD13" i="3"/>
  <c r="AS9" i="5"/>
  <c r="BC14" i="3"/>
  <c r="AS10" i="5" l="1"/>
  <c r="BD14" i="3"/>
  <c r="BC15" i="3"/>
  <c r="AR9" i="5"/>
  <c r="AQ9" i="5"/>
  <c r="AQ10" i="5" l="1"/>
  <c r="AR10" i="5"/>
  <c r="BD15" i="3"/>
  <c r="AS11" i="5"/>
  <c r="BC16" i="3"/>
  <c r="AS12" i="5" l="1"/>
  <c r="BD16" i="3"/>
  <c r="BC17" i="3"/>
  <c r="AQ11" i="5"/>
  <c r="AR11" i="5"/>
  <c r="AR12" i="5" l="1"/>
  <c r="AQ12" i="5"/>
  <c r="AS13" i="5"/>
  <c r="BD17" i="3"/>
  <c r="BC18" i="3"/>
  <c r="AR13" i="5" l="1"/>
  <c r="AQ13" i="5"/>
  <c r="BD18" i="3"/>
  <c r="AS14" i="5"/>
  <c r="BC19" i="3"/>
  <c r="BD19" i="3" l="1"/>
  <c r="AS15" i="5"/>
  <c r="BC20" i="3"/>
  <c r="AQ14" i="5"/>
  <c r="AR14" i="5"/>
  <c r="BD20" i="3" l="1"/>
  <c r="AS16" i="5"/>
  <c r="BC21" i="3"/>
  <c r="AR15" i="5"/>
  <c r="AQ15" i="5"/>
  <c r="BD21" i="3" l="1"/>
  <c r="AS17" i="5"/>
  <c r="BC22" i="3"/>
  <c r="AR16" i="5"/>
  <c r="AQ16" i="5"/>
  <c r="BD22" i="3" l="1"/>
  <c r="AS18" i="5"/>
  <c r="BC23" i="3"/>
  <c r="AQ17" i="5"/>
  <c r="AR17" i="5"/>
  <c r="BD23" i="3" l="1"/>
  <c r="AS19" i="5"/>
  <c r="BC24" i="3"/>
  <c r="AQ18" i="5"/>
  <c r="AR18" i="5"/>
  <c r="BD24" i="3" l="1"/>
  <c r="AS20" i="5"/>
  <c r="BC25" i="3"/>
  <c r="AQ19" i="5"/>
  <c r="AR19" i="5"/>
  <c r="BD25" i="3" l="1"/>
  <c r="AS21" i="5"/>
  <c r="BC26" i="3"/>
  <c r="AR20" i="5"/>
  <c r="AQ20" i="5"/>
  <c r="BD26" i="3" l="1"/>
  <c r="AS22" i="5"/>
  <c r="BC27" i="3"/>
  <c r="AR21" i="5"/>
  <c r="AQ21" i="5"/>
  <c r="BD27" i="3" l="1"/>
  <c r="AS23" i="5"/>
  <c r="BC28" i="3"/>
  <c r="AQ22" i="5"/>
  <c r="AR22" i="5"/>
  <c r="BD28" i="3" l="1"/>
  <c r="AS24" i="5"/>
  <c r="BC29" i="3"/>
  <c r="AQ23" i="5"/>
  <c r="AR23" i="5"/>
  <c r="BD29" i="3" l="1"/>
  <c r="AS25" i="5"/>
  <c r="BC30" i="3"/>
  <c r="AR24" i="5"/>
  <c r="AQ24" i="5"/>
  <c r="BD30" i="3" l="1"/>
  <c r="AS26" i="5"/>
  <c r="BC31" i="3"/>
  <c r="AR25" i="5"/>
  <c r="AQ25" i="5"/>
  <c r="BD31" i="3" l="1"/>
  <c r="AS27" i="5"/>
  <c r="BC32" i="3"/>
  <c r="AQ26" i="5"/>
  <c r="AR26" i="5"/>
  <c r="BD32" i="3" l="1"/>
  <c r="AS28" i="5"/>
  <c r="BC33" i="3"/>
  <c r="AR27" i="5"/>
  <c r="AQ27" i="5"/>
  <c r="BD33" i="3" l="1"/>
  <c r="AS29" i="5"/>
  <c r="BC34" i="3"/>
  <c r="AR28" i="5"/>
  <c r="AQ28" i="5"/>
  <c r="BD34" i="3" l="1"/>
  <c r="AS30" i="5"/>
  <c r="BC35" i="3"/>
  <c r="AQ29" i="5"/>
  <c r="AR29" i="5"/>
  <c r="BD35" i="3" l="1"/>
  <c r="AS31" i="5"/>
  <c r="BC36" i="3"/>
  <c r="AQ30" i="5"/>
  <c r="AR30" i="5"/>
  <c r="BD36" i="3" l="1"/>
  <c r="AS32" i="5"/>
  <c r="BC37" i="3"/>
  <c r="AR31" i="5"/>
  <c r="AQ31" i="5"/>
  <c r="BD37" i="3" l="1"/>
  <c r="AS33" i="5"/>
  <c r="BC38" i="3"/>
  <c r="AQ32" i="5"/>
  <c r="AR32" i="5"/>
  <c r="BD38" i="3" l="1"/>
  <c r="AS34" i="5"/>
  <c r="BC39" i="3"/>
  <c r="BC8" i="17" s="1"/>
  <c r="AQ33" i="5"/>
  <c r="AR33" i="5"/>
  <c r="AW4" i="5" l="1"/>
  <c r="BD8" i="17"/>
  <c r="BC9" i="17"/>
  <c r="AQ34" i="5"/>
  <c r="AS35" i="5" s="1"/>
  <c r="AR34" i="5"/>
  <c r="AS36" i="5" s="1"/>
  <c r="AU4" i="5" l="1"/>
  <c r="AV4" i="5"/>
  <c r="BD9" i="17"/>
  <c r="AW5" i="5"/>
  <c r="BC10" i="17"/>
  <c r="AW6" i="5" l="1"/>
  <c r="BD10" i="17"/>
  <c r="BC11" i="17"/>
  <c r="AV5" i="5"/>
  <c r="AU5" i="5"/>
  <c r="AV6" i="5" l="1"/>
  <c r="AU6" i="5"/>
  <c r="AW7" i="5"/>
  <c r="BD11" i="17"/>
  <c r="BC12" i="17"/>
  <c r="AU7" i="5" l="1"/>
  <c r="AV7" i="5"/>
  <c r="BD12" i="17"/>
  <c r="AW8" i="5"/>
  <c r="BC13" i="17"/>
  <c r="AW9" i="5" l="1"/>
  <c r="BD13" i="17"/>
  <c r="BC14" i="17"/>
  <c r="AV8" i="5"/>
  <c r="AU8" i="5"/>
  <c r="AV9" i="5" l="1"/>
  <c r="AU9" i="5"/>
  <c r="AW10" i="5"/>
  <c r="BD14" i="17"/>
  <c r="BC15" i="17"/>
  <c r="AV10" i="5" l="1"/>
  <c r="AU10" i="5"/>
  <c r="AW11" i="5"/>
  <c r="BD15" i="17"/>
  <c r="BC16" i="17"/>
  <c r="AU11" i="5" l="1"/>
  <c r="AV11" i="5"/>
  <c r="AW12" i="5"/>
  <c r="BD16" i="17"/>
  <c r="BC17" i="17"/>
  <c r="AV12" i="5" l="1"/>
  <c r="AU12" i="5"/>
  <c r="AW13" i="5"/>
  <c r="BD17" i="17"/>
  <c r="BC18" i="17"/>
  <c r="AV13" i="5" l="1"/>
  <c r="AU13" i="5"/>
  <c r="AW14" i="5"/>
  <c r="BD18" i="17"/>
  <c r="BC19" i="17"/>
  <c r="AV14" i="5" l="1"/>
  <c r="AU14" i="5"/>
  <c r="AW15" i="5"/>
  <c r="BD19" i="17"/>
  <c r="BC20" i="17"/>
  <c r="AV15" i="5" l="1"/>
  <c r="AU15" i="5"/>
  <c r="AW16" i="5"/>
  <c r="BD20" i="17"/>
  <c r="BC21" i="17"/>
  <c r="AV16" i="5" l="1"/>
  <c r="AU16" i="5"/>
  <c r="AW17" i="5"/>
  <c r="BD21" i="17"/>
  <c r="BC22" i="17"/>
  <c r="AU17" i="5" l="1"/>
  <c r="AV17" i="5"/>
  <c r="AW18" i="5"/>
  <c r="BD22" i="17"/>
  <c r="BC23" i="17"/>
  <c r="AU18" i="5" l="1"/>
  <c r="AV18" i="5"/>
  <c r="AW19" i="5"/>
  <c r="BD23" i="17"/>
  <c r="BC24" i="17"/>
  <c r="AU19" i="5" l="1"/>
  <c r="AV19" i="5"/>
  <c r="AW20" i="5"/>
  <c r="BD24" i="17"/>
  <c r="BC25" i="17"/>
  <c r="AV20" i="5" l="1"/>
  <c r="AU20" i="5"/>
  <c r="AW21" i="5"/>
  <c r="BD25" i="17"/>
  <c r="BC26" i="17"/>
  <c r="AV21" i="5" l="1"/>
  <c r="AU21" i="5"/>
  <c r="AW22" i="5"/>
  <c r="BD26" i="17"/>
  <c r="BC27" i="17"/>
  <c r="AU22" i="5" l="1"/>
  <c r="AV22" i="5"/>
  <c r="AW23" i="5"/>
  <c r="BD27" i="17"/>
  <c r="BC28" i="17"/>
  <c r="AU23" i="5" l="1"/>
  <c r="AV23" i="5"/>
  <c r="AW24" i="5"/>
  <c r="BD28" i="17"/>
  <c r="BC29" i="17"/>
  <c r="AV24" i="5" l="1"/>
  <c r="AU24" i="5"/>
  <c r="BD29" i="17"/>
  <c r="AW25" i="5"/>
  <c r="BC30" i="17"/>
  <c r="AW26" i="5" l="1"/>
  <c r="BD30" i="17"/>
  <c r="BC31" i="17"/>
  <c r="AU25" i="5"/>
  <c r="AV25" i="5"/>
  <c r="AU26" i="5" l="1"/>
  <c r="AV26" i="5"/>
  <c r="AW27" i="5"/>
  <c r="BD31" i="17"/>
  <c r="BC32" i="17"/>
  <c r="AV27" i="5" l="1"/>
  <c r="AU27" i="5"/>
  <c r="BD32" i="17"/>
  <c r="AW28" i="5"/>
  <c r="BC33" i="17"/>
  <c r="AW29" i="5" l="1"/>
  <c r="BD33" i="17"/>
  <c r="BC34" i="17"/>
  <c r="AU28" i="5"/>
  <c r="AV28" i="5"/>
  <c r="AV29" i="5" l="1"/>
  <c r="AU29" i="5"/>
  <c r="AW30" i="5"/>
  <c r="BD34" i="17"/>
  <c r="BC35" i="17"/>
  <c r="AU30" i="5" l="1"/>
  <c r="AV30" i="5"/>
  <c r="AW31" i="5"/>
  <c r="BD35" i="17"/>
  <c r="BC36" i="17"/>
  <c r="AU31" i="5" l="1"/>
  <c r="AV31" i="5"/>
  <c r="BD36" i="17"/>
  <c r="BC37" i="17"/>
  <c r="BC38" i="17" l="1"/>
  <c r="BD37" i="17"/>
  <c r="AU32" i="5"/>
  <c r="AW35" i="5" s="1"/>
  <c r="AV32" i="5"/>
  <c r="AW36" i="5" s="1"/>
  <c r="BD38" i="17" l="1"/>
  <c r="BC39" i="17"/>
  <c r="BC8" i="7" s="1"/>
  <c r="BA4" i="5" l="1"/>
  <c r="BD8" i="7"/>
  <c r="BC9" i="7"/>
  <c r="AZ4" i="5" l="1"/>
  <c r="AY4" i="5"/>
  <c r="BA5" i="5"/>
  <c r="BD9" i="7"/>
  <c r="BC10" i="7"/>
  <c r="AY5" i="5" l="1"/>
  <c r="AZ5" i="5"/>
  <c r="BA6" i="5"/>
  <c r="BD10" i="7"/>
  <c r="BC11" i="7"/>
  <c r="BA7" i="5" l="1"/>
  <c r="BD11" i="7"/>
  <c r="BC12" i="7"/>
  <c r="AZ6" i="5"/>
  <c r="AY6" i="5"/>
  <c r="AZ7" i="5" l="1"/>
  <c r="AY7" i="5"/>
  <c r="BA8" i="5"/>
  <c r="BD12" i="7"/>
  <c r="BC13" i="7"/>
  <c r="AZ8" i="5" l="1"/>
  <c r="AY8" i="5"/>
  <c r="BA9" i="5"/>
  <c r="BD13" i="7"/>
  <c r="BC14" i="7"/>
  <c r="BA10" i="5" l="1"/>
  <c r="BD14" i="7"/>
  <c r="BC15" i="7"/>
  <c r="AY9" i="5"/>
  <c r="AZ9" i="5"/>
  <c r="AY10" i="5" l="1"/>
  <c r="AZ10" i="5"/>
  <c r="BA11" i="5"/>
  <c r="BD15" i="7"/>
  <c r="BC16" i="7"/>
  <c r="AY11" i="5" l="1"/>
  <c r="AZ11" i="5"/>
  <c r="BD16" i="7"/>
  <c r="BA12" i="5"/>
  <c r="BC17" i="7"/>
  <c r="BA13" i="5" l="1"/>
  <c r="BD17" i="7"/>
  <c r="BC18" i="7"/>
  <c r="AY12" i="5"/>
  <c r="AZ12" i="5"/>
  <c r="AZ13" i="5" l="1"/>
  <c r="AY13" i="5"/>
  <c r="BD18" i="7"/>
  <c r="BA14" i="5"/>
  <c r="BC19" i="7"/>
  <c r="BA15" i="5" l="1"/>
  <c r="BD19" i="7"/>
  <c r="BC20" i="7"/>
  <c r="AY14" i="5"/>
  <c r="AZ14" i="5"/>
  <c r="AZ15" i="5" l="1"/>
  <c r="AY15" i="5"/>
  <c r="BD20" i="7"/>
  <c r="BA16" i="5"/>
  <c r="BC21" i="7"/>
  <c r="BA17" i="5" l="1"/>
  <c r="BD21" i="7"/>
  <c r="BC22" i="7"/>
  <c r="AY16" i="5"/>
  <c r="AZ16" i="5"/>
  <c r="AY17" i="5" l="1"/>
  <c r="AZ17" i="5"/>
  <c r="BA18" i="5"/>
  <c r="BD22" i="7"/>
  <c r="BC23" i="7"/>
  <c r="AY18" i="5" l="1"/>
  <c r="AZ18" i="5"/>
  <c r="BA19" i="5"/>
  <c r="BD23" i="7"/>
  <c r="BC24" i="7"/>
  <c r="AY19" i="5" l="1"/>
  <c r="AZ19" i="5"/>
  <c r="BD24" i="7"/>
  <c r="BA20" i="5"/>
  <c r="BC25" i="7"/>
  <c r="BA21" i="5" l="1"/>
  <c r="BD25" i="7"/>
  <c r="BC26" i="7"/>
  <c r="AZ20" i="5"/>
  <c r="AY20" i="5"/>
  <c r="AY21" i="5" l="1"/>
  <c r="AZ21" i="5"/>
  <c r="BA22" i="5"/>
  <c r="BD26" i="7"/>
  <c r="BC27" i="7"/>
  <c r="AZ22" i="5" l="1"/>
  <c r="AY22" i="5"/>
  <c r="BD27" i="7"/>
  <c r="BA23" i="5"/>
  <c r="BC28" i="7"/>
  <c r="BA24" i="5" l="1"/>
  <c r="BD28" i="7"/>
  <c r="BC29" i="7"/>
  <c r="AZ23" i="5"/>
  <c r="AY23" i="5"/>
  <c r="AZ24" i="5" l="1"/>
  <c r="AY24" i="5"/>
  <c r="BA25" i="5"/>
  <c r="BD29" i="7"/>
  <c r="BC30" i="7"/>
  <c r="BD30" i="7" l="1"/>
  <c r="BA26" i="5"/>
  <c r="BC31" i="7"/>
  <c r="AY25" i="5"/>
  <c r="AZ25" i="5"/>
  <c r="BA27" i="5" l="1"/>
  <c r="BD31" i="7"/>
  <c r="BC32" i="7"/>
  <c r="AY26" i="5"/>
  <c r="AZ26" i="5"/>
  <c r="AY27" i="5" l="1"/>
  <c r="AZ27" i="5"/>
  <c r="BA28" i="5"/>
  <c r="BD32" i="7"/>
  <c r="BC33" i="7"/>
  <c r="AZ28" i="5" l="1"/>
  <c r="AY28" i="5"/>
  <c r="BA29" i="5"/>
  <c r="BD33" i="7"/>
  <c r="BC34" i="7"/>
  <c r="AY29" i="5" l="1"/>
  <c r="AZ29" i="5"/>
  <c r="BD34" i="7"/>
  <c r="BA30" i="5"/>
  <c r="BC35" i="7"/>
  <c r="BA31" i="5" l="1"/>
  <c r="BD35" i="7"/>
  <c r="BC36" i="7"/>
  <c r="AY30" i="5"/>
  <c r="AZ30" i="5"/>
  <c r="AZ31" i="5" l="1"/>
  <c r="AY31" i="5"/>
  <c r="BA32" i="5"/>
  <c r="BD36" i="7"/>
  <c r="BC37" i="7"/>
  <c r="AZ32" i="5" l="1"/>
  <c r="AY32" i="5"/>
  <c r="BA33" i="5"/>
  <c r="BD37" i="7"/>
  <c r="BC38" i="7"/>
  <c r="AY33" i="5" l="1"/>
  <c r="AZ33" i="5"/>
  <c r="BD38" i="7"/>
  <c r="BA34" i="5"/>
  <c r="BC39" i="7"/>
  <c r="BC8" i="8" s="1"/>
  <c r="BE4" i="5" l="1"/>
  <c r="BD8" i="8"/>
  <c r="BC9" i="8"/>
  <c r="AY34" i="5"/>
  <c r="BA35" i="5" s="1"/>
  <c r="AZ34" i="5"/>
  <c r="BA36" i="5" s="1"/>
  <c r="BC4" i="5" l="1"/>
  <c r="BD4" i="5"/>
  <c r="BD9" i="8"/>
  <c r="BE5" i="5"/>
  <c r="BC10" i="8"/>
  <c r="BE6" i="5" l="1"/>
  <c r="BD10" i="8"/>
  <c r="BC11" i="8"/>
  <c r="BD5" i="5"/>
  <c r="BC5" i="5"/>
  <c r="BC6" i="5" l="1"/>
  <c r="BD6" i="5"/>
  <c r="BE7" i="5"/>
  <c r="BD11" i="8"/>
  <c r="BC12" i="8"/>
  <c r="BD7" i="5" l="1"/>
  <c r="BC7" i="5"/>
  <c r="BE8" i="5"/>
  <c r="BD12" i="8"/>
  <c r="BC13" i="8"/>
  <c r="BD13" i="8" l="1"/>
  <c r="BE9" i="5"/>
  <c r="BC14" i="8"/>
  <c r="BD8" i="5"/>
  <c r="BC8" i="5"/>
  <c r="BE10" i="5" l="1"/>
  <c r="BD14" i="8"/>
  <c r="BC15" i="8"/>
  <c r="BC9" i="5"/>
  <c r="BD9" i="5"/>
  <c r="BC10" i="5" l="1"/>
  <c r="BD10" i="5"/>
  <c r="BE11" i="5"/>
  <c r="BD15" i="8"/>
  <c r="BC16" i="8"/>
  <c r="BC11" i="5" l="1"/>
  <c r="BD11" i="5"/>
  <c r="BE12" i="5"/>
  <c r="BD16" i="8"/>
  <c r="BC17" i="8"/>
  <c r="BC12" i="5" l="1"/>
  <c r="BD12" i="5"/>
  <c r="BE13" i="5"/>
  <c r="BD17" i="8"/>
  <c r="BC18" i="8"/>
  <c r="BD13" i="5" l="1"/>
  <c r="BC13" i="5"/>
  <c r="BD18" i="8"/>
  <c r="BE14" i="5"/>
  <c r="BC19" i="8"/>
  <c r="BE15" i="5" l="1"/>
  <c r="BD19" i="8"/>
  <c r="BC20" i="8"/>
  <c r="BC14" i="5"/>
  <c r="BD14" i="5"/>
  <c r="BC15" i="5" l="1"/>
  <c r="BD15" i="5"/>
  <c r="BD20" i="8"/>
  <c r="BE16" i="5"/>
  <c r="BC21" i="8"/>
  <c r="BE17" i="5" l="1"/>
  <c r="BD21" i="8"/>
  <c r="BC22" i="8"/>
  <c r="BD16" i="5"/>
  <c r="BC16" i="5"/>
  <c r="BD17" i="5" l="1"/>
  <c r="BC17" i="5"/>
  <c r="BE18" i="5"/>
  <c r="BD22" i="8"/>
  <c r="BC23" i="8"/>
  <c r="BD18" i="5" l="1"/>
  <c r="BC18" i="5"/>
  <c r="BD23" i="8"/>
  <c r="BE19" i="5"/>
  <c r="BC24" i="8"/>
  <c r="BE20" i="5" l="1"/>
  <c r="BD24" i="8"/>
  <c r="BC25" i="8"/>
  <c r="BD19" i="5"/>
  <c r="BC19" i="5"/>
  <c r="BD20" i="5" l="1"/>
  <c r="BC20" i="5"/>
  <c r="BE21" i="5"/>
  <c r="BD25" i="8"/>
  <c r="BC26" i="8"/>
  <c r="BD26" i="8" l="1"/>
  <c r="BE22" i="5"/>
  <c r="BC27" i="8"/>
  <c r="BD21" i="5"/>
  <c r="BC21" i="5"/>
  <c r="BE23" i="5" l="1"/>
  <c r="BD27" i="8"/>
  <c r="BC28" i="8"/>
  <c r="BD22" i="5"/>
  <c r="BC22" i="5"/>
  <c r="BD23" i="5" l="1"/>
  <c r="BC23" i="5"/>
  <c r="BE24" i="5"/>
  <c r="BD28" i="8"/>
  <c r="BC29" i="8"/>
  <c r="BD24" i="5" l="1"/>
  <c r="BC24" i="5"/>
  <c r="BE25" i="5"/>
  <c r="BD29" i="8"/>
  <c r="BC30" i="8"/>
  <c r="BD30" i="8" l="1"/>
  <c r="BE26" i="5"/>
  <c r="BC31" i="8"/>
  <c r="BC25" i="5"/>
  <c r="BD25" i="5"/>
  <c r="BE27" i="5" l="1"/>
  <c r="BD31" i="8"/>
  <c r="BC32" i="8"/>
  <c r="BC26" i="5"/>
  <c r="BD26" i="5"/>
  <c r="BD27" i="5" l="1"/>
  <c r="BC27" i="5"/>
  <c r="BE28" i="5"/>
  <c r="BD32" i="8"/>
  <c r="BC33" i="8"/>
  <c r="BD28" i="5" l="1"/>
  <c r="BC28" i="5"/>
  <c r="BE29" i="5"/>
  <c r="BD33" i="8"/>
  <c r="BC34" i="8"/>
  <c r="BC29" i="5" l="1"/>
  <c r="BD29" i="5"/>
  <c r="BD34" i="8"/>
  <c r="BE30" i="5"/>
  <c r="BC35" i="8"/>
  <c r="BE31" i="5" l="1"/>
  <c r="BD35" i="8"/>
  <c r="BC36" i="8"/>
  <c r="BC30" i="5"/>
  <c r="BD30" i="5"/>
  <c r="BD31" i="5" l="1"/>
  <c r="BC31" i="5"/>
  <c r="BE32" i="5"/>
  <c r="BD36" i="8"/>
  <c r="BC37" i="8"/>
  <c r="BC32" i="5" l="1"/>
  <c r="BD32" i="5"/>
  <c r="BD37" i="8"/>
  <c r="BC38" i="8"/>
  <c r="BC39" i="8" s="1"/>
  <c r="BC8" i="9" s="1"/>
  <c r="BE33" i="5"/>
  <c r="BI4" i="5" l="1"/>
  <c r="BD8" i="9"/>
  <c r="BC9" i="9"/>
  <c r="BC33" i="5"/>
  <c r="BE35" i="5" s="1"/>
  <c r="BD33" i="5"/>
  <c r="BE36" i="5" s="1"/>
  <c r="BH4" i="5" l="1"/>
  <c r="BG4" i="5"/>
  <c r="BI5" i="5"/>
  <c r="BD9" i="9"/>
  <c r="BC10" i="9"/>
  <c r="BH5" i="5" l="1"/>
  <c r="BG5" i="5"/>
  <c r="BI6" i="5"/>
  <c r="BD10" i="9"/>
  <c r="BC11" i="9"/>
  <c r="BG6" i="5" l="1"/>
  <c r="BH6" i="5"/>
  <c r="BD11" i="9"/>
  <c r="BI7" i="5"/>
  <c r="BC12" i="9"/>
  <c r="BI8" i="5" l="1"/>
  <c r="BD12" i="9"/>
  <c r="BC13" i="9"/>
  <c r="BG7" i="5"/>
  <c r="BH7" i="5"/>
  <c r="BG8" i="5" l="1"/>
  <c r="BH8" i="5"/>
  <c r="BI9" i="5"/>
  <c r="BD13" i="9"/>
  <c r="BC14" i="9"/>
  <c r="BH9" i="5" l="1"/>
  <c r="BG9" i="5"/>
  <c r="BI10" i="5"/>
  <c r="BD14" i="9"/>
  <c r="BC15" i="9"/>
  <c r="BG10" i="5" l="1"/>
  <c r="BH10" i="5"/>
  <c r="BI11" i="5"/>
  <c r="BD15" i="9"/>
  <c r="BC16" i="9"/>
  <c r="BH11" i="5" l="1"/>
  <c r="BG11" i="5"/>
  <c r="BI12" i="5"/>
  <c r="BD16" i="9"/>
  <c r="BC17" i="9"/>
  <c r="BG12" i="5" l="1"/>
  <c r="BH12" i="5"/>
  <c r="BI13" i="5"/>
  <c r="BD17" i="9"/>
  <c r="BC18" i="9"/>
  <c r="BG13" i="5" l="1"/>
  <c r="BH13" i="5"/>
  <c r="BI14" i="5"/>
  <c r="BD18" i="9"/>
  <c r="BC19" i="9"/>
  <c r="BH14" i="5" l="1"/>
  <c r="BG14" i="5"/>
  <c r="BI15" i="5"/>
  <c r="BD19" i="9"/>
  <c r="BC20" i="9"/>
  <c r="BI16" i="5" l="1"/>
  <c r="BD20" i="9"/>
  <c r="BC21" i="9"/>
  <c r="BH15" i="5"/>
  <c r="BG15" i="5"/>
  <c r="BG16" i="5" l="1"/>
  <c r="BH16" i="5"/>
  <c r="BD21" i="9"/>
  <c r="BI17" i="5"/>
  <c r="BC22" i="9"/>
  <c r="BI18" i="5" l="1"/>
  <c r="BD22" i="9"/>
  <c r="BC23" i="9"/>
  <c r="BG17" i="5"/>
  <c r="BH17" i="5"/>
  <c r="BH18" i="5" l="1"/>
  <c r="BG18" i="5"/>
  <c r="BI19" i="5"/>
  <c r="BD23" i="9"/>
  <c r="BC24" i="9"/>
  <c r="BG19" i="5" l="1"/>
  <c r="BH19" i="5"/>
  <c r="BI20" i="5"/>
  <c r="BD24" i="9"/>
  <c r="BC25" i="9"/>
  <c r="BH20" i="5" l="1"/>
  <c r="BG20" i="5"/>
  <c r="BI21" i="5"/>
  <c r="BD25" i="9"/>
  <c r="BC26" i="9"/>
  <c r="BI22" i="5" l="1"/>
  <c r="BD26" i="9"/>
  <c r="BC27" i="9"/>
  <c r="BG21" i="5"/>
  <c r="BH21" i="5"/>
  <c r="BH22" i="5" l="1"/>
  <c r="BG22" i="5"/>
  <c r="BD27" i="9"/>
  <c r="BI23" i="5"/>
  <c r="BC28" i="9"/>
  <c r="BI24" i="5" l="1"/>
  <c r="BD28" i="9"/>
  <c r="BC29" i="9"/>
  <c r="BG23" i="5"/>
  <c r="BH23" i="5"/>
  <c r="BH24" i="5" l="1"/>
  <c r="BG24" i="5"/>
  <c r="BI25" i="5"/>
  <c r="BD29" i="9"/>
  <c r="BC30" i="9"/>
  <c r="BG25" i="5" l="1"/>
  <c r="BH25" i="5"/>
  <c r="BI26" i="5"/>
  <c r="BD30" i="9"/>
  <c r="BC31" i="9"/>
  <c r="BG26" i="5" l="1"/>
  <c r="BH26" i="5"/>
  <c r="BD31" i="9"/>
  <c r="BI27" i="5"/>
  <c r="BC32" i="9"/>
  <c r="BI28" i="5" l="1"/>
  <c r="BD32" i="9"/>
  <c r="BC33" i="9"/>
  <c r="BG27" i="5"/>
  <c r="BH27" i="5"/>
  <c r="BH28" i="5" l="1"/>
  <c r="BG28" i="5"/>
  <c r="BI29" i="5"/>
  <c r="BD33" i="9"/>
  <c r="BC34" i="9"/>
  <c r="BG29" i="5" l="1"/>
  <c r="BH29" i="5"/>
  <c r="BD34" i="9"/>
  <c r="BI30" i="5"/>
  <c r="BC35" i="9"/>
  <c r="BI31" i="5" l="1"/>
  <c r="BD35" i="9"/>
  <c r="BC36" i="9"/>
  <c r="BH30" i="5"/>
  <c r="BG30" i="5"/>
  <c r="BG31" i="5" l="1"/>
  <c r="BH31" i="5"/>
  <c r="BI32" i="5"/>
  <c r="BC37" i="9"/>
  <c r="BD36" i="9"/>
  <c r="BG32" i="5" l="1"/>
  <c r="BH32" i="5"/>
  <c r="BI33" i="5"/>
  <c r="BD37" i="9"/>
  <c r="BC38" i="9"/>
  <c r="BH33" i="5" l="1"/>
  <c r="BG33" i="5"/>
  <c r="BC39" i="9"/>
  <c r="BC8" i="10" s="1"/>
  <c r="BI34" i="5"/>
  <c r="BD38" i="9"/>
  <c r="BG34" i="5" l="1"/>
  <c r="BI35" i="5" s="1"/>
  <c r="BH34" i="5"/>
  <c r="BI36" i="5" s="1"/>
  <c r="BM4" i="5"/>
  <c r="BD8" i="10"/>
  <c r="BC9" i="10"/>
  <c r="BK4" i="5" l="1"/>
  <c r="BL4" i="5"/>
  <c r="BD9" i="10"/>
  <c r="BM5" i="5"/>
  <c r="BC10" i="10"/>
  <c r="BM6" i="5" l="1"/>
  <c r="BD10" i="10"/>
  <c r="BC11" i="10"/>
  <c r="BL5" i="5"/>
  <c r="BK5" i="5"/>
  <c r="BL6" i="5" l="1"/>
  <c r="BK6" i="5"/>
  <c r="BM7" i="5"/>
  <c r="BD11" i="10"/>
  <c r="BC12" i="10"/>
  <c r="BL7" i="5" l="1"/>
  <c r="BK7" i="5"/>
  <c r="BM8" i="5"/>
  <c r="BD12" i="10"/>
  <c r="BC13" i="10"/>
  <c r="BM9" i="5" l="1"/>
  <c r="BD13" i="10"/>
  <c r="BC14" i="10"/>
  <c r="BL8" i="5"/>
  <c r="BK8" i="5"/>
  <c r="BK9" i="5" l="1"/>
  <c r="BL9" i="5"/>
  <c r="BM10" i="5"/>
  <c r="BD14" i="10"/>
  <c r="BC15" i="10"/>
  <c r="BL10" i="5" l="1"/>
  <c r="BK10" i="5"/>
  <c r="BD15" i="10"/>
  <c r="BM11" i="5"/>
  <c r="BC16" i="10"/>
  <c r="BM12" i="5" l="1"/>
  <c r="BD16" i="10"/>
  <c r="BC17" i="10"/>
  <c r="BK11" i="5"/>
  <c r="BL11" i="5"/>
  <c r="BM13" i="5" l="1"/>
  <c r="BD17" i="10"/>
  <c r="BC18" i="10"/>
  <c r="BL12" i="5"/>
  <c r="BK12" i="5"/>
  <c r="BK13" i="5" l="1"/>
  <c r="BL13" i="5"/>
  <c r="BM14" i="5"/>
  <c r="BD18" i="10"/>
  <c r="BC19" i="10"/>
  <c r="BK14" i="5" l="1"/>
  <c r="BL14" i="5"/>
  <c r="BM15" i="5"/>
  <c r="BD19" i="10"/>
  <c r="BC20" i="10"/>
  <c r="BD20" i="10" l="1"/>
  <c r="BM16" i="5"/>
  <c r="BC21" i="10"/>
  <c r="BL15" i="5"/>
  <c r="BK15" i="5"/>
  <c r="BM17" i="5" l="1"/>
  <c r="BD21" i="10"/>
  <c r="BC22" i="10"/>
  <c r="BK16" i="5"/>
  <c r="BL16" i="5"/>
  <c r="BL17" i="5" l="1"/>
  <c r="BK17" i="5"/>
  <c r="BD22" i="10"/>
  <c r="BM18" i="5"/>
  <c r="BC23" i="10"/>
  <c r="BM19" i="5" l="1"/>
  <c r="BD23" i="10"/>
  <c r="BC24" i="10"/>
  <c r="BK18" i="5"/>
  <c r="BL18" i="5"/>
  <c r="BK19" i="5" l="1"/>
  <c r="BL19" i="5"/>
  <c r="BM20" i="5"/>
  <c r="BD24" i="10"/>
  <c r="BC25" i="10"/>
  <c r="BL20" i="5" l="1"/>
  <c r="BK20" i="5"/>
  <c r="BD25" i="10"/>
  <c r="BM21" i="5"/>
  <c r="BC26" i="10"/>
  <c r="BM22" i="5" l="1"/>
  <c r="BD26" i="10"/>
  <c r="BC27" i="10"/>
  <c r="BK21" i="5"/>
  <c r="BL21" i="5"/>
  <c r="BL22" i="5" l="1"/>
  <c r="BK22" i="5"/>
  <c r="BD27" i="10"/>
  <c r="BM23" i="5"/>
  <c r="BC28" i="10"/>
  <c r="BM24" i="5" l="1"/>
  <c r="BD28" i="10"/>
  <c r="BC29" i="10"/>
  <c r="BK23" i="5"/>
  <c r="BL23" i="5"/>
  <c r="BK24" i="5" l="1"/>
  <c r="BL24" i="5"/>
  <c r="BM25" i="5"/>
  <c r="BD29" i="10"/>
  <c r="BC30" i="10"/>
  <c r="BL25" i="5" l="1"/>
  <c r="BK25" i="5"/>
  <c r="BM26" i="5"/>
  <c r="BD30" i="10"/>
  <c r="BC31" i="10"/>
  <c r="BL26" i="5" l="1"/>
  <c r="BK26" i="5"/>
  <c r="BD31" i="10"/>
  <c r="BM27" i="5"/>
  <c r="BC32" i="10"/>
  <c r="BM28" i="5" l="1"/>
  <c r="BD32" i="10"/>
  <c r="BC33" i="10"/>
  <c r="BK27" i="5"/>
  <c r="BL27" i="5"/>
  <c r="BK28" i="5" l="1"/>
  <c r="BL28" i="5"/>
  <c r="BM29" i="5"/>
  <c r="BD33" i="10"/>
  <c r="BC34" i="10"/>
  <c r="BL29" i="5" l="1"/>
  <c r="BK29" i="5"/>
  <c r="BM30" i="5"/>
  <c r="BD34" i="10"/>
  <c r="BC35" i="10"/>
  <c r="BL30" i="5" l="1"/>
  <c r="BK30" i="5"/>
  <c r="BM31" i="5"/>
  <c r="BD35" i="10"/>
  <c r="BC36" i="10"/>
  <c r="BK31" i="5" l="1"/>
  <c r="BL31" i="5"/>
  <c r="BM32" i="5"/>
  <c r="BD36" i="10"/>
  <c r="BC37" i="10"/>
  <c r="BL32" i="5" l="1"/>
  <c r="BK32" i="5"/>
  <c r="BD37" i="10"/>
  <c r="BC38" i="10"/>
  <c r="BC39" i="10" s="1"/>
  <c r="BC8" i="11" s="1"/>
  <c r="BM33" i="5"/>
  <c r="BD8" i="11" l="1"/>
  <c r="BQ4" i="5"/>
  <c r="BC9" i="11"/>
  <c r="BK33" i="5"/>
  <c r="BM35" i="5" s="1"/>
  <c r="BL33" i="5"/>
  <c r="BM36" i="5" s="1"/>
  <c r="BQ5" i="5" l="1"/>
  <c r="BD9" i="11"/>
  <c r="BC10" i="11"/>
  <c r="BO4" i="5"/>
  <c r="BP4" i="5"/>
  <c r="BO5" i="5" l="1"/>
  <c r="BP5" i="5"/>
  <c r="BQ6" i="5"/>
  <c r="BD10" i="11"/>
  <c r="BC11" i="11"/>
  <c r="BP6" i="5" l="1"/>
  <c r="BO6" i="5"/>
  <c r="BQ7" i="5"/>
  <c r="BD11" i="11"/>
  <c r="BC12" i="11"/>
  <c r="BP7" i="5" l="1"/>
  <c r="BO7" i="5"/>
  <c r="BD12" i="11"/>
  <c r="BQ8" i="5"/>
  <c r="BC13" i="11"/>
  <c r="BQ9" i="5" l="1"/>
  <c r="BD13" i="11"/>
  <c r="BC14" i="11"/>
  <c r="BP8" i="5"/>
  <c r="BO8" i="5"/>
  <c r="BP9" i="5" l="1"/>
  <c r="BO9" i="5"/>
  <c r="BQ10" i="5"/>
  <c r="BD14" i="11"/>
  <c r="BC15" i="11"/>
  <c r="BP10" i="5" l="1"/>
  <c r="BO10" i="5"/>
  <c r="BD15" i="11"/>
  <c r="BQ11" i="5"/>
  <c r="BC16" i="11"/>
  <c r="BQ12" i="5" l="1"/>
  <c r="BD16" i="11"/>
  <c r="BC17" i="11"/>
  <c r="BO11" i="5"/>
  <c r="BP11" i="5"/>
  <c r="BO12" i="5" l="1"/>
  <c r="BP12" i="5"/>
  <c r="BD17" i="11"/>
  <c r="BQ13" i="5"/>
  <c r="BC18" i="11"/>
  <c r="BQ14" i="5" l="1"/>
  <c r="BD18" i="11"/>
  <c r="BC19" i="11"/>
  <c r="BO13" i="5"/>
  <c r="BP13" i="5"/>
  <c r="BP14" i="5" l="1"/>
  <c r="BO14" i="5"/>
  <c r="BQ15" i="5"/>
  <c r="BD19" i="11"/>
  <c r="BC20" i="11"/>
  <c r="BO15" i="5" l="1"/>
  <c r="BP15" i="5"/>
  <c r="BQ16" i="5"/>
  <c r="BD20" i="11"/>
  <c r="BC21" i="11"/>
  <c r="BP16" i="5" l="1"/>
  <c r="BO16" i="5"/>
  <c r="BQ17" i="5"/>
  <c r="BD21" i="11"/>
  <c r="BC22" i="11"/>
  <c r="BP17" i="5" l="1"/>
  <c r="BO17" i="5"/>
  <c r="BQ18" i="5"/>
  <c r="BD22" i="11"/>
  <c r="BC23" i="11"/>
  <c r="BQ19" i="5" l="1"/>
  <c r="BD23" i="11"/>
  <c r="BC24" i="11"/>
  <c r="BO18" i="5"/>
  <c r="BP18" i="5"/>
  <c r="BO19" i="5" l="1"/>
  <c r="BP19" i="5"/>
  <c r="BQ20" i="5"/>
  <c r="BD24" i="11"/>
  <c r="BC25" i="11"/>
  <c r="BP20" i="5" l="1"/>
  <c r="BO20" i="5"/>
  <c r="BQ21" i="5"/>
  <c r="BD25" i="11"/>
  <c r="BC26" i="11"/>
  <c r="BP21" i="5" l="1"/>
  <c r="BO21" i="5"/>
  <c r="BD26" i="11"/>
  <c r="BQ22" i="5"/>
  <c r="BC27" i="11"/>
  <c r="BQ23" i="5" l="1"/>
  <c r="BD27" i="11"/>
  <c r="BC28" i="11"/>
  <c r="BO22" i="5"/>
  <c r="BP22" i="5"/>
  <c r="BO23" i="5" l="1"/>
  <c r="BP23" i="5"/>
  <c r="BQ24" i="5"/>
  <c r="BD28" i="11"/>
  <c r="BC29" i="11"/>
  <c r="BO24" i="5" l="1"/>
  <c r="BP24" i="5"/>
  <c r="BQ25" i="5"/>
  <c r="BD29" i="11"/>
  <c r="BC30" i="11"/>
  <c r="BO25" i="5" l="1"/>
  <c r="BP25" i="5"/>
  <c r="BQ26" i="5"/>
  <c r="BD30" i="11"/>
  <c r="BC31" i="11"/>
  <c r="BQ27" i="5" l="1"/>
  <c r="BD31" i="11"/>
  <c r="BC32" i="11"/>
  <c r="BO26" i="5"/>
  <c r="BP26" i="5"/>
  <c r="BO27" i="5" l="1"/>
  <c r="BP27" i="5"/>
  <c r="BQ28" i="5"/>
  <c r="BD32" i="11"/>
  <c r="BC33" i="11"/>
  <c r="BD33" i="11" l="1"/>
  <c r="BQ29" i="5"/>
  <c r="BC34" i="11"/>
  <c r="BO28" i="5"/>
  <c r="BP28" i="5"/>
  <c r="BQ30" i="5" l="1"/>
  <c r="BD34" i="11"/>
  <c r="BC35" i="11"/>
  <c r="BO29" i="5"/>
  <c r="BP29" i="5"/>
  <c r="BO30" i="5" l="1"/>
  <c r="BP30" i="5"/>
  <c r="BD35" i="11"/>
  <c r="BQ31" i="5"/>
  <c r="BC36" i="11"/>
  <c r="BQ32" i="5" l="1"/>
  <c r="BD36" i="11"/>
  <c r="BC37" i="11"/>
  <c r="BO31" i="5"/>
  <c r="BP31" i="5"/>
  <c r="BP32" i="5" l="1"/>
  <c r="BO32" i="5"/>
  <c r="BD37" i="11"/>
  <c r="BQ33" i="5"/>
  <c r="BC38" i="11"/>
  <c r="BQ34" i="5" l="1"/>
  <c r="BC39" i="11"/>
  <c r="BC8" i="12" s="1"/>
  <c r="BD38" i="11"/>
  <c r="BO33" i="5"/>
  <c r="BP33" i="5"/>
  <c r="BU4" i="5" l="1"/>
  <c r="BD8" i="12"/>
  <c r="BC9" i="12"/>
  <c r="BO34" i="5"/>
  <c r="BQ35" i="5" s="1"/>
  <c r="BP34" i="5"/>
  <c r="BQ36" i="5" s="1"/>
  <c r="BS4" i="5" l="1"/>
  <c r="BT4" i="5"/>
  <c r="BU5" i="5"/>
  <c r="BD9" i="12"/>
  <c r="BC10" i="12"/>
  <c r="BT5" i="5" l="1"/>
  <c r="BS5" i="5"/>
  <c r="BU6" i="5"/>
  <c r="BD10" i="12"/>
  <c r="BC11" i="12"/>
  <c r="BU7" i="5" l="1"/>
  <c r="BD11" i="12"/>
  <c r="BC12" i="12"/>
  <c r="BT6" i="5"/>
  <c r="BS6" i="5"/>
  <c r="BT7" i="5" l="1"/>
  <c r="BS7" i="5"/>
  <c r="BU8" i="5"/>
  <c r="BD12" i="12"/>
  <c r="BC13" i="12"/>
  <c r="BT8" i="5" l="1"/>
  <c r="BS8" i="5"/>
  <c r="BD13" i="12"/>
  <c r="BU9" i="5"/>
  <c r="BC14" i="12"/>
  <c r="BU10" i="5" l="1"/>
  <c r="BD14" i="12"/>
  <c r="BC15" i="12"/>
  <c r="BS9" i="5"/>
  <c r="BT9" i="5"/>
  <c r="BS10" i="5" l="1"/>
  <c r="BT10" i="5"/>
  <c r="BD15" i="12"/>
  <c r="BU11" i="5"/>
  <c r="BC16" i="12"/>
  <c r="BU12" i="5" l="1"/>
  <c r="BD16" i="12"/>
  <c r="BC17" i="12"/>
  <c r="BT11" i="5"/>
  <c r="BS11" i="5"/>
  <c r="BS12" i="5" l="1"/>
  <c r="BT12" i="5"/>
  <c r="BU13" i="5"/>
  <c r="BD17" i="12"/>
  <c r="BC18" i="12"/>
  <c r="BT13" i="5" l="1"/>
  <c r="BS13" i="5"/>
  <c r="BD18" i="12"/>
  <c r="BU14" i="5"/>
  <c r="BC19" i="12"/>
  <c r="BU15" i="5" l="1"/>
  <c r="BD19" i="12"/>
  <c r="BC20" i="12"/>
  <c r="BS14" i="5"/>
  <c r="BT14" i="5"/>
  <c r="BT15" i="5" l="1"/>
  <c r="BS15" i="5"/>
  <c r="BU16" i="5"/>
  <c r="BD20" i="12"/>
  <c r="BC21" i="12"/>
  <c r="BT16" i="5" l="1"/>
  <c r="BS16" i="5"/>
  <c r="BU17" i="5"/>
  <c r="BD21" i="12"/>
  <c r="BC22" i="12"/>
  <c r="BU18" i="5" l="1"/>
  <c r="BD22" i="12"/>
  <c r="BC23" i="12"/>
  <c r="BT17" i="5"/>
  <c r="BS17" i="5"/>
  <c r="BS18" i="5" l="1"/>
  <c r="BT18" i="5"/>
  <c r="BD23" i="12"/>
  <c r="BU19" i="5"/>
  <c r="BC24" i="12"/>
  <c r="BU20" i="5" l="1"/>
  <c r="BD24" i="12"/>
  <c r="BC25" i="12"/>
  <c r="BS19" i="5"/>
  <c r="BT19" i="5"/>
  <c r="BT20" i="5" l="1"/>
  <c r="BS20" i="5"/>
  <c r="BU21" i="5"/>
  <c r="BD25" i="12"/>
  <c r="BC26" i="12"/>
  <c r="BT21" i="5" l="1"/>
  <c r="BS21" i="5"/>
  <c r="BU22" i="5"/>
  <c r="BD26" i="12"/>
  <c r="BC27" i="12"/>
  <c r="BS22" i="5" l="1"/>
  <c r="BT22" i="5"/>
  <c r="BU23" i="5"/>
  <c r="BD27" i="12"/>
  <c r="BC28" i="12"/>
  <c r="BU24" i="5" l="1"/>
  <c r="BD28" i="12"/>
  <c r="BC29" i="12"/>
  <c r="BS23" i="5"/>
  <c r="BT23" i="5"/>
  <c r="BS24" i="5" l="1"/>
  <c r="BT24" i="5"/>
  <c r="BU25" i="5"/>
  <c r="BD29" i="12"/>
  <c r="BC30" i="12"/>
  <c r="BS25" i="5" l="1"/>
  <c r="BT25" i="5"/>
  <c r="BD30" i="12"/>
  <c r="BU26" i="5"/>
  <c r="BC31" i="12"/>
  <c r="BU27" i="5" l="1"/>
  <c r="BD31" i="12"/>
  <c r="BC32" i="12"/>
  <c r="BS26" i="5"/>
  <c r="BT26" i="5"/>
  <c r="BT27" i="5" l="1"/>
  <c r="BS27" i="5"/>
  <c r="BU28" i="5"/>
  <c r="BD32" i="12"/>
  <c r="BC33" i="12"/>
  <c r="BS28" i="5" l="1"/>
  <c r="BT28" i="5"/>
  <c r="BU29" i="5"/>
  <c r="BD33" i="12"/>
  <c r="BC34" i="12"/>
  <c r="BS29" i="5" l="1"/>
  <c r="BT29" i="5"/>
  <c r="BU30" i="5"/>
  <c r="BD34" i="12"/>
  <c r="BC35" i="12"/>
  <c r="BU31" i="5" l="1"/>
  <c r="BD35" i="12"/>
  <c r="BC36" i="12"/>
  <c r="BS30" i="5"/>
  <c r="BT30" i="5"/>
  <c r="BT31" i="5" l="1"/>
  <c r="BS31" i="5"/>
  <c r="BU32" i="5"/>
  <c r="BD36" i="12"/>
  <c r="BC37" i="12"/>
  <c r="BU33" i="5" l="1"/>
  <c r="BD37" i="12"/>
  <c r="BC38" i="12"/>
  <c r="BS32" i="5"/>
  <c r="BT32" i="5"/>
  <c r="BS33" i="5" l="1"/>
  <c r="BT33" i="5"/>
  <c r="BD38" i="12"/>
  <c r="BU34" i="5"/>
  <c r="BC39" i="12"/>
  <c r="BC8" i="13" s="1"/>
  <c r="BY4" i="5" l="1"/>
  <c r="BD8" i="13"/>
  <c r="BC9" i="13"/>
  <c r="BS34" i="5"/>
  <c r="BU35" i="5" s="1"/>
  <c r="BT34" i="5"/>
  <c r="BU36" i="5" s="1"/>
  <c r="BW4" i="5" l="1"/>
  <c r="BX4" i="5"/>
  <c r="BY5" i="5"/>
  <c r="BD9" i="13"/>
  <c r="BC10" i="13"/>
  <c r="BW5" i="5" l="1"/>
  <c r="BX5" i="5"/>
  <c r="BY6" i="5"/>
  <c r="BD10" i="13"/>
  <c r="BC11" i="13"/>
  <c r="BY7" i="5" l="1"/>
  <c r="BD11" i="13"/>
  <c r="BC12" i="13"/>
  <c r="BX6" i="5"/>
  <c r="BW6" i="5"/>
  <c r="BW7" i="5" l="1"/>
  <c r="BX7" i="5"/>
  <c r="BD12" i="13"/>
  <c r="BY8" i="5"/>
  <c r="BC13" i="13"/>
  <c r="BY9" i="5" l="1"/>
  <c r="BD13" i="13"/>
  <c r="BC14" i="13"/>
  <c r="BX8" i="5"/>
  <c r="BW8" i="5"/>
  <c r="BD14" i="13" l="1"/>
  <c r="BY10" i="5"/>
  <c r="BC15" i="13"/>
  <c r="BX9" i="5"/>
  <c r="BW9" i="5"/>
  <c r="BY11" i="5" l="1"/>
  <c r="BD15" i="13"/>
  <c r="BC16" i="13"/>
  <c r="BW10" i="5"/>
  <c r="BX10" i="5"/>
  <c r="BX11" i="5" l="1"/>
  <c r="BW11" i="5"/>
  <c r="BY12" i="5"/>
  <c r="BD16" i="13"/>
  <c r="BC17" i="13"/>
  <c r="BY13" i="5" l="1"/>
  <c r="BD17" i="13"/>
  <c r="BC18" i="13"/>
  <c r="BX12" i="5"/>
  <c r="BW12" i="5"/>
  <c r="BW13" i="5" l="1"/>
  <c r="BX13" i="5"/>
  <c r="BY14" i="5"/>
  <c r="BD18" i="13"/>
  <c r="BC19" i="13"/>
  <c r="BX14" i="5" l="1"/>
  <c r="BW14" i="5"/>
  <c r="BD19" i="13"/>
  <c r="BY15" i="5"/>
  <c r="BC20" i="13"/>
  <c r="BY16" i="5" l="1"/>
  <c r="BD20" i="13"/>
  <c r="BC21" i="13"/>
  <c r="BX15" i="5"/>
  <c r="BW15" i="5"/>
  <c r="BX16" i="5" l="1"/>
  <c r="BW16" i="5"/>
  <c r="BD21" i="13"/>
  <c r="BY17" i="5"/>
  <c r="BC22" i="13"/>
  <c r="BY18" i="5" l="1"/>
  <c r="BD22" i="13"/>
  <c r="BC23" i="13"/>
  <c r="BX17" i="5"/>
  <c r="BW17" i="5"/>
  <c r="BW18" i="5" l="1"/>
  <c r="BX18" i="5"/>
  <c r="BY19" i="5"/>
  <c r="BD23" i="13"/>
  <c r="BC24" i="13"/>
  <c r="BW19" i="5" l="1"/>
  <c r="BX19" i="5"/>
  <c r="BY20" i="5"/>
  <c r="BD24" i="13"/>
  <c r="BC25" i="13"/>
  <c r="BX20" i="5" l="1"/>
  <c r="BW20" i="5"/>
  <c r="BY21" i="5"/>
  <c r="BD25" i="13"/>
  <c r="BC26" i="13"/>
  <c r="BD26" i="13" l="1"/>
  <c r="BY22" i="5"/>
  <c r="BC27" i="13"/>
  <c r="BX21" i="5"/>
  <c r="BW21" i="5"/>
  <c r="BY23" i="5" l="1"/>
  <c r="BD27" i="13"/>
  <c r="BC28" i="13"/>
  <c r="BX22" i="5"/>
  <c r="BW22" i="5"/>
  <c r="BX23" i="5" l="1"/>
  <c r="BW23" i="5"/>
  <c r="BY24" i="5"/>
  <c r="BD28" i="13"/>
  <c r="BC29" i="13"/>
  <c r="BX24" i="5" l="1"/>
  <c r="BW24" i="5"/>
  <c r="BY25" i="5"/>
  <c r="BD29" i="13"/>
  <c r="BC30" i="13"/>
  <c r="BW25" i="5" l="1"/>
  <c r="BX25" i="5"/>
  <c r="BD30" i="13"/>
  <c r="BY26" i="5"/>
  <c r="BC31" i="13"/>
  <c r="BY27" i="5" l="1"/>
  <c r="BD31" i="13"/>
  <c r="BC32" i="13"/>
  <c r="BW26" i="5"/>
  <c r="BX26" i="5"/>
  <c r="BX27" i="5" l="1"/>
  <c r="BW27" i="5"/>
  <c r="BD32" i="13"/>
  <c r="BY28" i="5"/>
  <c r="BC33" i="13"/>
  <c r="BY29" i="5" l="1"/>
  <c r="BD33" i="13"/>
  <c r="BC34" i="13"/>
  <c r="BX28" i="5"/>
  <c r="BW28" i="5"/>
  <c r="BX29" i="5" l="1"/>
  <c r="BW29" i="5"/>
  <c r="BY30" i="5"/>
  <c r="BD34" i="13"/>
  <c r="BC35" i="13"/>
  <c r="BX30" i="5" l="1"/>
  <c r="BW30" i="5"/>
  <c r="BY31" i="5"/>
  <c r="BD35" i="13"/>
  <c r="BC36" i="13"/>
  <c r="BW31" i="5" l="1"/>
  <c r="BX31" i="5"/>
  <c r="BY32" i="5"/>
  <c r="BD36" i="13"/>
  <c r="BC37" i="13"/>
  <c r="BW32" i="5" l="1"/>
  <c r="BX32" i="5"/>
  <c r="BC38" i="13"/>
  <c r="BC39" i="13" s="1"/>
  <c r="BC8" i="14" s="1"/>
  <c r="BY33" i="5"/>
  <c r="BD37" i="13"/>
  <c r="BW33" i="5" l="1"/>
  <c r="BY35" i="5" s="1"/>
  <c r="BX33" i="5"/>
  <c r="BY36" i="5" s="1"/>
  <c r="CC4" i="5"/>
  <c r="BD8" i="14"/>
  <c r="BC9" i="14"/>
  <c r="CB4" i="5" l="1"/>
  <c r="CA4" i="5"/>
  <c r="BC10" i="14"/>
  <c r="CC5" i="5"/>
  <c r="BD9" i="14"/>
  <c r="CB5" i="5" l="1"/>
  <c r="CA5" i="5"/>
  <c r="BD10" i="14"/>
  <c r="CC6" i="5"/>
  <c r="BC11" i="14"/>
  <c r="CC7" i="5" l="1"/>
  <c r="BD11" i="14"/>
  <c r="BC12" i="14"/>
  <c r="CB6" i="5"/>
  <c r="CA6" i="5"/>
  <c r="CB7" i="5" l="1"/>
  <c r="CA7" i="5"/>
  <c r="CC8" i="5"/>
  <c r="BD12" i="14"/>
  <c r="BC13" i="14"/>
  <c r="CA8" i="5" l="1"/>
  <c r="CB8" i="5"/>
  <c r="CC9" i="5"/>
  <c r="BD13" i="14"/>
  <c r="BC14" i="14"/>
  <c r="CA9" i="5" l="1"/>
  <c r="CB9" i="5"/>
  <c r="CC10" i="5"/>
  <c r="BD14" i="14"/>
  <c r="BC15" i="14"/>
  <c r="CA10" i="5" l="1"/>
  <c r="CB10" i="5"/>
  <c r="CC11" i="5"/>
  <c r="BD15" i="14"/>
  <c r="BC16" i="14"/>
  <c r="CC12" i="5" l="1"/>
  <c r="BD16" i="14"/>
  <c r="BC17" i="14"/>
  <c r="CA11" i="5"/>
  <c r="CB11" i="5"/>
  <c r="CB12" i="5" l="1"/>
  <c r="CA12" i="5"/>
  <c r="CC13" i="5"/>
  <c r="BD17" i="14"/>
  <c r="BC18" i="14"/>
  <c r="CA13" i="5" l="1"/>
  <c r="CB13" i="5"/>
  <c r="CC14" i="5"/>
  <c r="BD18" i="14"/>
  <c r="BC19" i="14"/>
  <c r="CA14" i="5" l="1"/>
  <c r="CB14" i="5"/>
  <c r="CC15" i="5"/>
  <c r="BD19" i="14"/>
  <c r="BC20" i="14"/>
  <c r="CA15" i="5" l="1"/>
  <c r="CB15" i="5"/>
  <c r="BD20" i="14"/>
  <c r="CC16" i="5"/>
  <c r="BC21" i="14"/>
  <c r="CC17" i="5" l="1"/>
  <c r="BD21" i="14"/>
  <c r="BC22" i="14"/>
  <c r="CB16" i="5"/>
  <c r="CA16" i="5"/>
  <c r="CB17" i="5" l="1"/>
  <c r="CA17" i="5"/>
  <c r="BD22" i="14"/>
  <c r="CC18" i="5"/>
  <c r="BC23" i="14"/>
  <c r="CC19" i="5" l="1"/>
  <c r="BD23" i="14"/>
  <c r="BC24" i="14"/>
  <c r="CA18" i="5"/>
  <c r="CB18" i="5"/>
  <c r="CB19" i="5" l="1"/>
  <c r="CA19" i="5"/>
  <c r="CC20" i="5"/>
  <c r="BD24" i="14"/>
  <c r="BC25" i="14"/>
  <c r="CA20" i="5" l="1"/>
  <c r="CB20" i="5"/>
  <c r="CC21" i="5"/>
  <c r="BD25" i="14"/>
  <c r="BC26" i="14"/>
  <c r="CA21" i="5" l="1"/>
  <c r="CB21" i="5"/>
  <c r="BD26" i="14"/>
  <c r="CC22" i="5"/>
  <c r="BC27" i="14"/>
  <c r="CC23" i="5" l="1"/>
  <c r="BD27" i="14"/>
  <c r="BC28" i="14"/>
  <c r="CB22" i="5"/>
  <c r="CA22" i="5"/>
  <c r="CA23" i="5" l="1"/>
  <c r="CB23" i="5"/>
  <c r="CC24" i="5"/>
  <c r="BD28" i="14"/>
  <c r="BC29" i="14"/>
  <c r="CA24" i="5" l="1"/>
  <c r="CB24" i="5"/>
  <c r="BD29" i="14"/>
  <c r="CC25" i="5"/>
  <c r="BC30" i="14"/>
  <c r="CC26" i="5" l="1"/>
  <c r="BD30" i="14"/>
  <c r="BC31" i="14"/>
  <c r="CB25" i="5"/>
  <c r="CA25" i="5"/>
  <c r="BD31" i="14" l="1"/>
  <c r="CC27" i="5"/>
  <c r="BC32" i="14"/>
  <c r="CA26" i="5"/>
  <c r="CB26" i="5"/>
  <c r="CC28" i="5" l="1"/>
  <c r="BD32" i="14"/>
  <c r="BC33" i="14"/>
  <c r="CB27" i="5"/>
  <c r="CA27" i="5"/>
  <c r="CA28" i="5" l="1"/>
  <c r="CB28" i="5"/>
  <c r="BD33" i="14"/>
  <c r="CC29" i="5"/>
  <c r="BC34" i="14"/>
  <c r="CC30" i="5" l="1"/>
  <c r="BD34" i="14"/>
  <c r="BC35" i="14"/>
  <c r="CA29" i="5"/>
  <c r="CB29" i="5"/>
  <c r="CA30" i="5" l="1"/>
  <c r="CB30" i="5"/>
  <c r="CC31" i="5"/>
  <c r="BD35" i="14"/>
  <c r="BC36" i="14"/>
  <c r="CA31" i="5" l="1"/>
  <c r="CB31" i="5"/>
  <c r="CC32" i="5"/>
  <c r="BD36" i="14"/>
  <c r="BC37" i="14"/>
  <c r="CB32" i="5" l="1"/>
  <c r="CA32" i="5"/>
  <c r="BD37" i="14"/>
  <c r="CC33" i="5"/>
  <c r="BC38" i="14"/>
  <c r="CC34" i="5" l="1"/>
  <c r="BD38" i="14"/>
  <c r="BC39" i="14"/>
  <c r="BC8" i="15" s="1"/>
  <c r="CA33" i="5"/>
  <c r="CB33" i="5"/>
  <c r="CA34" i="5" l="1"/>
  <c r="CC35" i="5" s="1"/>
  <c r="CB34" i="5"/>
  <c r="CC36" i="5" s="1"/>
  <c r="CG4" i="5"/>
  <c r="BD8" i="15"/>
  <c r="BC9" i="15"/>
  <c r="CE4" i="5" l="1"/>
  <c r="CF4" i="5"/>
  <c r="CG5" i="5"/>
  <c r="BD9" i="15"/>
  <c r="BC10" i="15"/>
  <c r="CE5" i="5" l="1"/>
  <c r="CF5" i="5"/>
  <c r="BD10" i="15"/>
  <c r="CG6" i="5"/>
  <c r="BC11" i="15"/>
  <c r="CF6" i="5" l="1"/>
  <c r="CE6" i="5"/>
  <c r="CG7" i="5"/>
  <c r="BD11" i="15"/>
  <c r="BC12" i="15"/>
  <c r="CE7" i="5" l="1"/>
  <c r="CF7" i="5"/>
  <c r="CG8" i="5"/>
  <c r="BD12" i="15"/>
  <c r="BC13" i="15"/>
  <c r="CG9" i="5" l="1"/>
  <c r="BD13" i="15"/>
  <c r="BC14" i="15"/>
  <c r="CF8" i="5"/>
  <c r="CE8" i="5"/>
  <c r="CE9" i="5" l="1"/>
  <c r="CF9" i="5"/>
  <c r="CG10" i="5"/>
  <c r="BD14" i="15"/>
  <c r="BC15" i="15"/>
  <c r="CF10" i="5" l="1"/>
  <c r="CE10" i="5"/>
  <c r="CG11" i="5"/>
  <c r="BD15" i="15"/>
  <c r="BC16" i="15"/>
  <c r="CF11" i="5" l="1"/>
  <c r="CE11" i="5"/>
  <c r="BD16" i="15"/>
  <c r="CG12" i="5"/>
  <c r="BC17" i="15"/>
  <c r="CG13" i="5" l="1"/>
  <c r="BD17" i="15"/>
  <c r="BC18" i="15"/>
  <c r="CF12" i="5"/>
  <c r="CE12" i="5"/>
  <c r="CG14" i="5" l="1"/>
  <c r="BD18" i="15"/>
  <c r="BC19" i="15"/>
  <c r="CE13" i="5"/>
  <c r="CF13" i="5"/>
  <c r="CE14" i="5" l="1"/>
  <c r="CF14" i="5"/>
  <c r="CG15" i="5"/>
  <c r="BD19" i="15"/>
  <c r="BC20" i="15"/>
  <c r="CF15" i="5" l="1"/>
  <c r="CE15" i="5"/>
  <c r="CG16" i="5"/>
  <c r="BD20" i="15"/>
  <c r="BC21" i="15"/>
  <c r="CF16" i="5" l="1"/>
  <c r="CE16" i="5"/>
  <c r="CG17" i="5"/>
  <c r="BD21" i="15"/>
  <c r="BC22" i="15"/>
  <c r="CF17" i="5" l="1"/>
  <c r="CE17" i="5"/>
  <c r="BD22" i="15"/>
  <c r="CG18" i="5"/>
  <c r="BC23" i="15"/>
  <c r="CG19" i="5" l="1"/>
  <c r="BD23" i="15"/>
  <c r="BC24" i="15"/>
  <c r="CF18" i="5"/>
  <c r="CE18" i="5"/>
  <c r="CE19" i="5" l="1"/>
  <c r="CF19" i="5"/>
  <c r="CG20" i="5"/>
  <c r="BD24" i="15"/>
  <c r="BC25" i="15"/>
  <c r="CE20" i="5" l="1"/>
  <c r="CF20" i="5"/>
  <c r="CG21" i="5"/>
  <c r="BD25" i="15"/>
  <c r="BC26" i="15"/>
  <c r="CF21" i="5" l="1"/>
  <c r="CE21" i="5"/>
  <c r="BD26" i="15"/>
  <c r="CG22" i="5"/>
  <c r="BC27" i="15"/>
  <c r="CG23" i="5" l="1"/>
  <c r="BD27" i="15"/>
  <c r="BC28" i="15"/>
  <c r="CE22" i="5"/>
  <c r="CF22" i="5"/>
  <c r="CF23" i="5" l="1"/>
  <c r="CE23" i="5"/>
  <c r="CG24" i="5"/>
  <c r="BD28" i="15"/>
  <c r="BC29" i="15"/>
  <c r="CE24" i="5" l="1"/>
  <c r="CF24" i="5"/>
  <c r="CG25" i="5"/>
  <c r="BD29" i="15"/>
  <c r="BC30" i="15"/>
  <c r="CF25" i="5" l="1"/>
  <c r="CE25" i="5"/>
  <c r="CG26" i="5"/>
  <c r="BD30" i="15"/>
  <c r="BC31" i="15"/>
  <c r="CF26" i="5" l="1"/>
  <c r="CE26" i="5"/>
  <c r="CG27" i="5"/>
  <c r="BD31" i="15"/>
  <c r="BC32" i="15"/>
  <c r="CF27" i="5" l="1"/>
  <c r="CE27" i="5"/>
  <c r="BD32" i="15"/>
  <c r="CG28" i="5"/>
  <c r="BC33" i="15"/>
  <c r="CG29" i="5" l="1"/>
  <c r="BD33" i="15"/>
  <c r="BC34" i="15"/>
  <c r="CE28" i="5"/>
  <c r="CF28" i="5"/>
  <c r="CF29" i="5" l="1"/>
  <c r="CE29" i="5"/>
  <c r="BD34" i="15"/>
  <c r="CG30" i="5"/>
  <c r="BC35" i="15"/>
  <c r="CG31" i="5" l="1"/>
  <c r="BD35" i="15"/>
  <c r="BC36" i="15"/>
  <c r="CF30" i="5"/>
  <c r="CE30" i="5"/>
  <c r="CF31" i="5" l="1"/>
  <c r="CE31" i="5"/>
  <c r="BD36" i="15"/>
  <c r="CG32" i="5"/>
  <c r="BC37" i="15"/>
  <c r="CG33" i="5" l="1"/>
  <c r="BD37" i="15"/>
  <c r="BC38" i="15"/>
  <c r="BC39" i="15" s="1"/>
  <c r="BC8" i="16" s="1"/>
  <c r="CF32" i="5"/>
  <c r="CE32" i="5"/>
  <c r="CF33" i="5" l="1"/>
  <c r="CG36" i="5" s="1"/>
  <c r="CE33" i="5"/>
  <c r="CG35" i="5" s="1"/>
  <c r="BD8" i="16"/>
  <c r="CK4" i="5"/>
  <c r="BC9" i="16"/>
  <c r="BD9" i="16" l="1"/>
  <c r="CK5" i="5"/>
  <c r="BC10" i="16"/>
  <c r="CJ4" i="5"/>
  <c r="CI4" i="5"/>
  <c r="CK6" i="5" l="1"/>
  <c r="BD10" i="16"/>
  <c r="BC11" i="16"/>
  <c r="CI5" i="5"/>
  <c r="CJ5" i="5"/>
  <c r="CJ6" i="5" l="1"/>
  <c r="CI6" i="5"/>
  <c r="CK7" i="5"/>
  <c r="BD11" i="16"/>
  <c r="BC12" i="16"/>
  <c r="BD12" i="16" l="1"/>
  <c r="CK8" i="5"/>
  <c r="BC13" i="16"/>
  <c r="CI7" i="5"/>
  <c r="CJ7" i="5"/>
  <c r="CK9" i="5" l="1"/>
  <c r="BD13" i="16"/>
  <c r="BC14" i="16"/>
  <c r="CJ8" i="5"/>
  <c r="CI8" i="5"/>
  <c r="CI9" i="5" l="1"/>
  <c r="CJ9" i="5"/>
  <c r="BD14" i="16"/>
  <c r="CK10" i="5"/>
  <c r="BC15" i="16"/>
  <c r="CK11" i="5" l="1"/>
  <c r="BD15" i="16"/>
  <c r="BC16" i="16"/>
  <c r="CI10" i="5"/>
  <c r="CJ10" i="5"/>
  <c r="CI11" i="5" l="1"/>
  <c r="CJ11" i="5"/>
  <c r="BD16" i="16"/>
  <c r="CK12" i="5"/>
  <c r="BC17" i="16"/>
  <c r="CK13" i="5" l="1"/>
  <c r="BD17" i="16"/>
  <c r="BC18" i="16"/>
  <c r="CI12" i="5"/>
  <c r="CJ12" i="5"/>
  <c r="CJ13" i="5" l="1"/>
  <c r="CI13" i="5"/>
  <c r="BD18" i="16"/>
  <c r="CK14" i="5"/>
  <c r="BC19" i="16"/>
  <c r="CK15" i="5" l="1"/>
  <c r="BD19" i="16"/>
  <c r="BC20" i="16"/>
  <c r="CJ14" i="5"/>
  <c r="CI14" i="5"/>
  <c r="CJ15" i="5" l="1"/>
  <c r="CI15" i="5"/>
  <c r="BD20" i="16"/>
  <c r="CK16" i="5"/>
  <c r="BC21" i="16"/>
  <c r="CK17" i="5" l="1"/>
  <c r="BD21" i="16"/>
  <c r="BC22" i="16"/>
  <c r="CI16" i="5"/>
  <c r="CJ16" i="5"/>
  <c r="CI17" i="5" l="1"/>
  <c r="CJ17" i="5"/>
  <c r="BD22" i="16"/>
  <c r="CK18" i="5"/>
  <c r="BC23" i="16"/>
  <c r="CK19" i="5" l="1"/>
  <c r="BD23" i="16"/>
  <c r="BC24" i="16"/>
  <c r="CI18" i="5"/>
  <c r="CJ18" i="5"/>
  <c r="CJ19" i="5" l="1"/>
  <c r="CI19" i="5"/>
  <c r="BD24" i="16"/>
  <c r="CK20" i="5"/>
  <c r="BC25" i="16"/>
  <c r="CK21" i="5" l="1"/>
  <c r="BD25" i="16"/>
  <c r="BC26" i="16"/>
  <c r="CJ20" i="5"/>
  <c r="CI20" i="5"/>
  <c r="CJ21" i="5" l="1"/>
  <c r="CI21" i="5"/>
  <c r="BD26" i="16"/>
  <c r="CK22" i="5"/>
  <c r="BC27" i="16"/>
  <c r="CK23" i="5" l="1"/>
  <c r="BD27" i="16"/>
  <c r="BC28" i="16"/>
  <c r="CI22" i="5"/>
  <c r="CJ22" i="5"/>
  <c r="CJ23" i="5" l="1"/>
  <c r="CI23" i="5"/>
  <c r="BD28" i="16"/>
  <c r="CK24" i="5"/>
  <c r="BC29" i="16"/>
  <c r="CK25" i="5" l="1"/>
  <c r="BD29" i="16"/>
  <c r="BC30" i="16"/>
  <c r="CJ24" i="5"/>
  <c r="CI24" i="5"/>
  <c r="BD30" i="16" l="1"/>
  <c r="CK26" i="5"/>
  <c r="BC31" i="16"/>
  <c r="CI25" i="5"/>
  <c r="CJ25" i="5"/>
  <c r="CK27" i="5" l="1"/>
  <c r="BD31" i="16"/>
  <c r="BC32" i="16"/>
  <c r="CJ26" i="5"/>
  <c r="CI26" i="5"/>
  <c r="BD32" i="16" l="1"/>
  <c r="CK28" i="5"/>
  <c r="BC33" i="16"/>
  <c r="CI27" i="5"/>
  <c r="CJ27" i="5"/>
  <c r="CK29" i="5" l="1"/>
  <c r="BD33" i="16"/>
  <c r="BC34" i="16"/>
  <c r="CI28" i="5"/>
  <c r="CJ28" i="5"/>
  <c r="CJ29" i="5" l="1"/>
  <c r="CI29" i="5"/>
  <c r="BD34" i="16"/>
  <c r="CK30" i="5"/>
  <c r="BC35" i="16"/>
  <c r="CK31" i="5" l="1"/>
  <c r="BD35" i="16"/>
  <c r="BC36" i="16"/>
  <c r="CJ30" i="5"/>
  <c r="CI30" i="5"/>
  <c r="CI31" i="5" l="1"/>
  <c r="CJ31" i="5"/>
  <c r="BD36" i="16"/>
  <c r="CK32" i="5"/>
  <c r="BC37" i="16"/>
  <c r="CK33" i="5" l="1"/>
  <c r="BC38" i="16"/>
  <c r="BD37" i="16"/>
  <c r="CI32" i="5"/>
  <c r="CJ32" i="5"/>
  <c r="BD38" i="16" l="1"/>
  <c r="CK34" i="5"/>
  <c r="BC39" i="16"/>
  <c r="CI33" i="5"/>
  <c r="CJ33" i="5"/>
  <c r="CI34" i="5" l="1"/>
  <c r="CK35" i="5" s="1"/>
  <c r="CJ34" i="5"/>
  <c r="CK36" i="5" s="1"/>
</calcChain>
</file>

<file path=xl/sharedStrings.xml><?xml version="1.0" encoding="utf-8"?>
<sst xmlns="http://schemas.openxmlformats.org/spreadsheetml/2006/main" count="1553" uniqueCount="203">
  <si>
    <t>Personenbezogene Daten</t>
  </si>
  <si>
    <t>Name:</t>
  </si>
  <si>
    <t>Max Mustermann</t>
  </si>
  <si>
    <t>Plus-/ Minusstunden</t>
  </si>
  <si>
    <t>Arbeitstage pro Jahr</t>
  </si>
  <si>
    <t>Geburtsdatum:</t>
  </si>
  <si>
    <t>Rest Urlaub</t>
  </si>
  <si>
    <t>Personalnummer:</t>
  </si>
  <si>
    <t>geleistete Arbeitstage</t>
  </si>
  <si>
    <t>Entgeldgruppe (EG):</t>
  </si>
  <si>
    <t>Struktureinheit:</t>
  </si>
  <si>
    <t>Struktureinheit</t>
  </si>
  <si>
    <t>Plus-/ Minus- und Überstunden</t>
  </si>
  <si>
    <t>Aufzeichnungsjahr:</t>
  </si>
  <si>
    <t>Übertrag von:</t>
  </si>
  <si>
    <t>+</t>
  </si>
  <si>
    <t>Stunden/ hh:mm</t>
  </si>
  <si>
    <t>-</t>
  </si>
  <si>
    <t>Arbeitszeitkonto</t>
  </si>
  <si>
    <t>Pausenzeitprüfung</t>
  </si>
  <si>
    <t>Ampelphasen</t>
  </si>
  <si>
    <t>Mehrabreit/ Plus-Stunden</t>
  </si>
  <si>
    <t>Minderarbeit/ Minus-Stunden</t>
  </si>
  <si>
    <t>Phasenberechnung</t>
  </si>
  <si>
    <t>Urlaubsanspruch</t>
  </si>
  <si>
    <t>ab</t>
  </si>
  <si>
    <t>Grünphase</t>
  </si>
  <si>
    <t>der wöchentlichen Arbeitszeit</t>
  </si>
  <si>
    <t>Tage</t>
  </si>
  <si>
    <t>Gelbphase</t>
  </si>
  <si>
    <t>Rotphase</t>
  </si>
  <si>
    <t>Soll-Arbeitszeit</t>
  </si>
  <si>
    <t>Wochenstunden</t>
  </si>
  <si>
    <t>Montag</t>
  </si>
  <si>
    <t>Dienstag</t>
  </si>
  <si>
    <t>Mittwoch</t>
  </si>
  <si>
    <t>Donnerstag</t>
  </si>
  <si>
    <t>Freitag</t>
  </si>
  <si>
    <t>Samstag</t>
  </si>
  <si>
    <t>Sonntag</t>
  </si>
  <si>
    <t>Arbeitszeit 1 ab</t>
  </si>
  <si>
    <t>Arbeitszeit 2 ab</t>
  </si>
  <si>
    <t>Arbeitszeit 3 ab</t>
  </si>
  <si>
    <t>Arbeitszeit 4 ab</t>
  </si>
  <si>
    <t>Arbeitszeit 5 ab</t>
  </si>
  <si>
    <t>Legende Code</t>
  </si>
  <si>
    <t>Bezeichnung</t>
  </si>
  <si>
    <t>Abkürzung</t>
  </si>
  <si>
    <t>Unterscheidung</t>
  </si>
  <si>
    <t>Urlaub</t>
  </si>
  <si>
    <t>U</t>
  </si>
  <si>
    <t>Arbeitsunfähigkeit mit AU-Schein</t>
  </si>
  <si>
    <t>K</t>
  </si>
  <si>
    <t>Arbeitsunfähigkeit ohne AU-Schein</t>
  </si>
  <si>
    <t>KuK</t>
  </si>
  <si>
    <t>Kind Krank</t>
  </si>
  <si>
    <t>KK</t>
  </si>
  <si>
    <t>Dienstreise</t>
  </si>
  <si>
    <t>DR</t>
  </si>
  <si>
    <t>Weiterbildung</t>
  </si>
  <si>
    <t>WB</t>
  </si>
  <si>
    <t>medizinische Eingliederung</t>
  </si>
  <si>
    <t>mEG</t>
  </si>
  <si>
    <t>Freizeitausgleich</t>
  </si>
  <si>
    <t>FZA</t>
  </si>
  <si>
    <t>Kur</t>
  </si>
  <si>
    <t>Gleittag</t>
  </si>
  <si>
    <t>G</t>
  </si>
  <si>
    <t>Sonderurlaub</t>
  </si>
  <si>
    <t>SU</t>
  </si>
  <si>
    <t>Rufbreitschaft</t>
  </si>
  <si>
    <t>RU</t>
  </si>
  <si>
    <t>Überstunden</t>
  </si>
  <si>
    <t>Ü</t>
  </si>
  <si>
    <t>Arbeitsbefreiung nach § 29 (1) TV-L</t>
  </si>
  <si>
    <t>§29(1)</t>
  </si>
  <si>
    <t>Arbeitsbefreiung nach § 29 (2) TV-L</t>
  </si>
  <si>
    <t>§29(2)</t>
  </si>
  <si>
    <t>Arbeitsbefreiung nach § 29 (4) TV-L</t>
  </si>
  <si>
    <t>§29(4)</t>
  </si>
  <si>
    <t>Datum</t>
  </si>
  <si>
    <t>Feiertag</t>
  </si>
  <si>
    <t>Zuschläge</t>
  </si>
  <si>
    <t>Mehrarbeit in Stunden im Bezug zu VZÄ</t>
  </si>
  <si>
    <t>Dies ist z. Z. noch Gegenstand der Verhandlung zw. D2 und PR.</t>
  </si>
  <si>
    <t>Neujahr</t>
  </si>
  <si>
    <t>Nachtzuschlag vor:</t>
  </si>
  <si>
    <t>Uhr</t>
  </si>
  <si>
    <t>bis</t>
  </si>
  <si>
    <t>freie Verfügung</t>
  </si>
  <si>
    <t>Karfreitag</t>
  </si>
  <si>
    <t>Nachtzuschlag nach:</t>
  </si>
  <si>
    <t>Information an den Vorgesetzen</t>
  </si>
  <si>
    <t>Karsamstag</t>
  </si>
  <si>
    <t>Samstagzuschlag ab:</t>
  </si>
  <si>
    <t>nur nach Genehmigung durch D2 und PR</t>
  </si>
  <si>
    <t>Ostersonntag</t>
  </si>
  <si>
    <t>Sonntags- u. Feiertagszugschläge ab:</t>
  </si>
  <si>
    <t>Ostermontag</t>
  </si>
  <si>
    <t>Vergütungshöhe</t>
  </si>
  <si>
    <t>Minderarbeit in Stunden im Bezug zu VZÄ</t>
  </si>
  <si>
    <t>Tag der Arbeit</t>
  </si>
  <si>
    <t>v. H. für EG1-9 /</t>
  </si>
  <si>
    <t>v. H. für EG10-15</t>
  </si>
  <si>
    <t>Christi Himmelfahrt</t>
  </si>
  <si>
    <t>Nachtarbeit</t>
  </si>
  <si>
    <t>v. H.</t>
  </si>
  <si>
    <t>keine weiteren Minderstunden möglich</t>
  </si>
  <si>
    <t>Pfingssamstag</t>
  </si>
  <si>
    <t>Sonntagsarbeit</t>
  </si>
  <si>
    <t>Pfingstsonntag</t>
  </si>
  <si>
    <t>Feiertagsarbeit ohne FZA</t>
  </si>
  <si>
    <t>Pfingstmontag</t>
  </si>
  <si>
    <t>mit Freizeitausgleich (FZA)</t>
  </si>
  <si>
    <t>Tag der Deutschen Einheit</t>
  </si>
  <si>
    <t>Arbeiten am 24.12./ 31.12.</t>
  </si>
  <si>
    <t>Reformationstag</t>
  </si>
  <si>
    <t>Samstagsarbeit</t>
  </si>
  <si>
    <t>Buß- und Bettag</t>
  </si>
  <si>
    <t>Heiligabend</t>
  </si>
  <si>
    <t>1. Weihnachtstag</t>
  </si>
  <si>
    <t>2. Weihnachtstag</t>
  </si>
  <si>
    <t>Silvester</t>
  </si>
  <si>
    <t>Gitterlinien an?</t>
  </si>
  <si>
    <t>Überarbeiten</t>
  </si>
  <si>
    <t>Jahr:</t>
  </si>
  <si>
    <t>Monat:</t>
  </si>
  <si>
    <t>Nettoarbeitstag</t>
  </si>
  <si>
    <t>Tag</t>
  </si>
  <si>
    <t>Code</t>
  </si>
  <si>
    <t>Arbeitszeit</t>
  </si>
  <si>
    <t>Von bis Überprüfung</t>
  </si>
  <si>
    <t>Wochenend-/ Feiertagsarbeit</t>
  </si>
  <si>
    <t>Angeordnete Überstunden</t>
  </si>
  <si>
    <t>Phasenkontrolle</t>
  </si>
  <si>
    <t>KW</t>
  </si>
  <si>
    <t>Feiertage</t>
  </si>
  <si>
    <t>Kommen 1</t>
  </si>
  <si>
    <t>Gehen 1</t>
  </si>
  <si>
    <t>Brutto-Std._1</t>
  </si>
  <si>
    <t>Summe der  Pausen 1</t>
  </si>
  <si>
    <t>mind. Pause1</t>
  </si>
  <si>
    <t>Kommen 2</t>
  </si>
  <si>
    <t>Gehen 2</t>
  </si>
  <si>
    <t>Brutto-Std._2</t>
  </si>
  <si>
    <t>Summe der Pausen 2</t>
  </si>
  <si>
    <t>mind. Pause 2</t>
  </si>
  <si>
    <t>Pause_nötig?</t>
  </si>
  <si>
    <t>Unterbrechung</t>
  </si>
  <si>
    <t>Brutto-Std.</t>
  </si>
  <si>
    <t>Netto-Std.</t>
  </si>
  <si>
    <t>Soll-Std.</t>
  </si>
  <si>
    <t>+/-</t>
  </si>
  <si>
    <t>Kommentare/ Anmerkungen</t>
  </si>
  <si>
    <t>Zeiterfassung ohne Anrechnung</t>
  </si>
  <si>
    <t>Aktuelle AZ</t>
  </si>
  <si>
    <t>Krank</t>
  </si>
  <si>
    <t>Karenztag</t>
  </si>
  <si>
    <t>Arbeitsbefreiung nach § 29 (3) TV-L</t>
  </si>
  <si>
    <t>Nachtarbeit_AZ1</t>
  </si>
  <si>
    <t>Nachtarbeit_AZ2</t>
  </si>
  <si>
    <t>Samstag_1</t>
  </si>
  <si>
    <t>Samstag_2</t>
  </si>
  <si>
    <t>Rufbereitschaftszeit</t>
  </si>
  <si>
    <t>Arbeitseinsatz</t>
  </si>
  <si>
    <t>Stunden</t>
  </si>
  <si>
    <t>Zuschläge in h</t>
  </si>
  <si>
    <t>Zuschläg in h</t>
  </si>
  <si>
    <t>aktuelle Phase</t>
  </si>
  <si>
    <t>aktuelle Wochenstunden</t>
  </si>
  <si>
    <t>Ist Arbeitstag</t>
  </si>
  <si>
    <t>alter Vortrag:</t>
  </si>
  <si>
    <t>Mehrarbeit</t>
  </si>
  <si>
    <t>AZ in der mEG</t>
  </si>
  <si>
    <t>Sollmonatsstunden</t>
  </si>
  <si>
    <t>Vormonat</t>
  </si>
  <si>
    <t>Zeitzu-schläge</t>
  </si>
  <si>
    <t>aktuell:</t>
  </si>
  <si>
    <t>neuer Übertrag</t>
  </si>
  <si>
    <t>Arbeitstag/ Monat</t>
  </si>
  <si>
    <t>geleistet Arbeitstage/ Monat</t>
  </si>
  <si>
    <t xml:space="preserve"> </t>
  </si>
  <si>
    <t>Tage in Gelbphase:</t>
  </si>
  <si>
    <t>Tage in  Rotphase:</t>
  </si>
  <si>
    <t>Abk.</t>
  </si>
  <si>
    <t>Hilfszeilen für Nutzer</t>
  </si>
  <si>
    <t>Technische Universität Dresden</t>
  </si>
  <si>
    <t>Gedruckt:</t>
  </si>
  <si>
    <t>Abgegeben:</t>
  </si>
  <si>
    <t>Personal-Nr.:</t>
  </si>
  <si>
    <t>Geb.-Datum:</t>
  </si>
  <si>
    <t>Monat/ Jahr</t>
  </si>
  <si>
    <t>tatsächliche Arbeitszeit</t>
  </si>
  <si>
    <t>Urlaubstage</t>
  </si>
  <si>
    <t>von - bis</t>
  </si>
  <si>
    <t>13 - 21 Uhr</t>
  </si>
  <si>
    <t>21 - 6 Uhr</t>
  </si>
  <si>
    <t>Std.</t>
  </si>
  <si>
    <t>Gesamtstunden</t>
  </si>
  <si>
    <t>Dresden, den</t>
  </si>
  <si>
    <t>Die Angaben sind vollständig und richtig:</t>
  </si>
  <si>
    <t>Unterschrift des Antragstellers:</t>
  </si>
  <si>
    <t>Unterschrift des unmittelbar Vorgesetzten: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</si>
</sst>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hh]:mm;[Red]\-[hh]:mm"/>
    <numFmt numFmtId="165" formatCode="[hh]:mm"/>
    <numFmt numFmtId="166" formatCode="yyyy"/>
    <numFmt numFmtId="167" formatCode="mm\/mmmm"/>
    <numFmt numFmtId="168" formatCode="ddd"/>
    <numFmt numFmtId="169" formatCode="[$-F400]h:mm:ss\ AM/PM"/>
    <numFmt numFmtId="170" formatCode="[hh]:mm;&quot;0&quot;"/>
    <numFmt numFmtId="171" formatCode="h:mm;@"/>
    <numFmt numFmtId="172" formatCode="mmmm\ yyyy"/>
    <numFmt numFmtId="173" formatCode="dd/"/>
    <numFmt numFmtId="174" formatCode="[hh]:mm;\-[hh]:mm"/>
    <numFmt numFmtId="175" formatCode="mmmm"/>
    <numFmt numFmtId="176" formatCode="[hh]:mm;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i/>
      <sz val="10"/>
      <color theme="1"/>
      <name val="Open Sans"/>
      <family val="2"/>
    </font>
    <font>
      <b/>
      <i/>
      <sz val="10"/>
      <color theme="1"/>
      <name val="Open Sans"/>
      <family val="2"/>
    </font>
    <font>
      <sz val="10"/>
      <color rgb="FFFF0000"/>
      <name val="Open Sans"/>
      <family val="2"/>
    </font>
    <font>
      <b/>
      <sz val="10"/>
      <color rgb="FFFF0000"/>
      <name val="Open Sans"/>
      <family val="2"/>
    </font>
    <font>
      <sz val="12"/>
      <name val="Open Sans"/>
      <family val="2"/>
    </font>
    <font>
      <b/>
      <sz val="11"/>
      <name val="Open Sans"/>
      <family val="2"/>
    </font>
    <font>
      <b/>
      <sz val="10"/>
      <name val="Open Sans"/>
      <family val="2"/>
    </font>
    <font>
      <u/>
      <sz val="10"/>
      <name val="Open Sans"/>
      <family val="2"/>
    </font>
    <font>
      <sz val="10"/>
      <name val="Open Sans"/>
      <family val="2"/>
    </font>
    <font>
      <b/>
      <sz val="20"/>
      <color theme="1"/>
      <name val="Open Sans"/>
      <family val="2"/>
    </font>
    <font>
      <i/>
      <sz val="10"/>
      <color theme="0"/>
      <name val="Open Sans"/>
      <family val="2"/>
    </font>
    <font>
      <sz val="10"/>
      <color theme="0"/>
      <name val="Open Sans"/>
      <family val="2"/>
    </font>
    <font>
      <sz val="10"/>
      <color theme="0" tint="-0.249977111117893"/>
      <name val="Open Sans"/>
      <family val="2"/>
    </font>
    <font>
      <sz val="11"/>
      <color theme="0"/>
      <name val="Calibri"/>
      <family val="2"/>
      <scheme val="minor"/>
    </font>
    <font>
      <b/>
      <sz val="16"/>
      <color theme="1"/>
      <name val="Open Sans"/>
      <family val="2"/>
    </font>
    <font>
      <sz val="11"/>
      <color rgb="FFFF0000"/>
      <name val="Calibri"/>
      <family val="2"/>
      <scheme val="minor"/>
    </font>
    <font>
      <b/>
      <i/>
      <sz val="10"/>
      <color theme="0"/>
      <name val="Open Sans"/>
      <family val="2"/>
    </font>
    <font>
      <sz val="10"/>
      <color rgb="FFFF4343"/>
      <name val="Open Sans"/>
      <family val="2"/>
    </font>
    <font>
      <sz val="9"/>
      <color theme="1"/>
      <name val="Open Sans"/>
      <family val="2"/>
    </font>
    <font>
      <b/>
      <sz val="9"/>
      <name val="Open Sans"/>
      <family val="2"/>
    </font>
    <font>
      <sz val="9"/>
      <name val="Open Sans"/>
      <family val="2"/>
    </font>
    <font>
      <b/>
      <sz val="11"/>
      <color theme="1"/>
      <name val="Open Sans"/>
      <family val="2"/>
    </font>
    <font>
      <b/>
      <i/>
      <sz val="11"/>
      <color theme="1"/>
      <name val="Open Sans"/>
      <family val="2"/>
    </font>
    <font>
      <i/>
      <sz val="10"/>
      <color rgb="FFFF0000"/>
      <name val="Open Sans"/>
      <family val="2"/>
    </font>
    <font>
      <i/>
      <sz val="10"/>
      <name val="Open Sans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auto="1"/>
      </bottom>
      <diagonal/>
    </border>
    <border>
      <left/>
      <right style="dotted">
        <color indexed="64"/>
      </right>
      <top style="dotted">
        <color indexed="64"/>
      </top>
      <bottom style="medium">
        <color auto="1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59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4" fontId="3" fillId="2" borderId="18" xfId="0" applyNumberFormat="1" applyFont="1" applyFill="1" applyBorder="1"/>
    <xf numFmtId="14" fontId="3" fillId="2" borderId="20" xfId="0" applyNumberFormat="1" applyFont="1" applyFill="1" applyBorder="1"/>
    <xf numFmtId="0" fontId="5" fillId="6" borderId="0" xfId="0" applyFont="1" applyFill="1"/>
    <xf numFmtId="164" fontId="5" fillId="6" borderId="0" xfId="0" applyNumberFormat="1" applyFont="1" applyFill="1"/>
    <xf numFmtId="165" fontId="5" fillId="6" borderId="0" xfId="0" applyNumberFormat="1" applyFont="1" applyFill="1"/>
    <xf numFmtId="0" fontId="7" fillId="0" borderId="0" xfId="0" applyFont="1"/>
    <xf numFmtId="0" fontId="8" fillId="2" borderId="26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9" fontId="5" fillId="6" borderId="0" xfId="0" applyNumberFormat="1" applyFont="1" applyFill="1"/>
    <xf numFmtId="0" fontId="5" fillId="7" borderId="0" xfId="0" applyFont="1" applyFill="1"/>
    <xf numFmtId="165" fontId="5" fillId="6" borderId="0" xfId="0" quotePrefix="1" applyNumberFormat="1" applyFont="1" applyFill="1"/>
    <xf numFmtId="2" fontId="13" fillId="0" borderId="1" xfId="0" applyNumberFormat="1" applyFont="1" applyBorder="1" applyAlignment="1">
      <alignment horizontal="center" vertical="center"/>
    </xf>
    <xf numFmtId="165" fontId="13" fillId="0" borderId="61" xfId="0" applyNumberFormat="1" applyFont="1" applyBorder="1" applyAlignment="1">
      <alignment horizontal="left" vertical="center"/>
    </xf>
    <xf numFmtId="165" fontId="13" fillId="0" borderId="0" xfId="0" applyNumberFormat="1" applyFont="1" applyAlignment="1">
      <alignment horizontal="left" vertical="center"/>
    </xf>
    <xf numFmtId="2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0" fontId="10" fillId="1" borderId="0" xfId="0" applyFont="1" applyFill="1" applyAlignment="1">
      <alignment horizontal="left" vertical="center"/>
    </xf>
    <xf numFmtId="0" fontId="10" fillId="1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1" borderId="0" xfId="0" applyFont="1" applyFill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60" xfId="0" applyFont="1" applyBorder="1" applyAlignment="1">
      <alignment horizontal="center" vertical="center"/>
    </xf>
    <xf numFmtId="171" fontId="13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1" fontId="13" fillId="0" borderId="6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168" fontId="13" fillId="0" borderId="24" xfId="0" applyNumberFormat="1" applyFont="1" applyBorder="1" applyAlignment="1">
      <alignment horizontal="center" vertical="center"/>
    </xf>
    <xf numFmtId="0" fontId="13" fillId="0" borderId="2" xfId="0" quotePrefix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71" fontId="13" fillId="0" borderId="25" xfId="0" applyNumberFormat="1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1" fontId="13" fillId="0" borderId="0" xfId="0" applyNumberFormat="1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8" fontId="3" fillId="0" borderId="44" xfId="0" applyNumberFormat="1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4" fontId="3" fillId="0" borderId="45" xfId="0" applyNumberFormat="1" applyFont="1" applyBorder="1" applyAlignment="1">
      <alignment horizontal="center" vertical="center" wrapText="1"/>
    </xf>
    <xf numFmtId="168" fontId="3" fillId="0" borderId="43" xfId="0" applyNumberFormat="1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168" fontId="3" fillId="0" borderId="37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8" fontId="3" fillId="0" borderId="51" xfId="0" applyNumberFormat="1" applyFont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center" vertical="center" wrapText="1"/>
    </xf>
    <xf numFmtId="14" fontId="3" fillId="0" borderId="52" xfId="0" applyNumberFormat="1" applyFont="1" applyBorder="1" applyAlignment="1">
      <alignment horizontal="center" vertical="center" wrapText="1"/>
    </xf>
    <xf numFmtId="168" fontId="3" fillId="0" borderId="47" xfId="0" applyNumberFormat="1" applyFont="1" applyBorder="1" applyAlignment="1">
      <alignment horizontal="center" vertical="center" wrapText="1"/>
    </xf>
    <xf numFmtId="168" fontId="3" fillId="0" borderId="39" xfId="0" applyNumberFormat="1" applyFont="1" applyBorder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14" fontId="4" fillId="8" borderId="19" xfId="0" applyNumberFormat="1" applyFont="1" applyFill="1" applyBorder="1" applyAlignment="1">
      <alignment horizontal="center" vertical="center"/>
    </xf>
    <xf numFmtId="14" fontId="4" fillId="8" borderId="15" xfId="0" applyNumberFormat="1" applyFont="1" applyFill="1" applyBorder="1" applyAlignment="1">
      <alignment horizontal="center" vertical="center"/>
    </xf>
    <xf numFmtId="14" fontId="4" fillId="8" borderId="18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64" fontId="4" fillId="0" borderId="58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4" fontId="4" fillId="0" borderId="56" xfId="0" applyNumberFormat="1" applyFont="1" applyBorder="1" applyAlignment="1" applyProtection="1">
      <alignment horizontal="center" vertical="center"/>
      <protection locked="0"/>
    </xf>
    <xf numFmtId="164" fontId="4" fillId="0" borderId="65" xfId="0" applyNumberFormat="1" applyFont="1" applyBorder="1" applyAlignment="1" applyProtection="1">
      <alignment horizontal="center" vertical="center"/>
      <protection locked="0"/>
    </xf>
    <xf numFmtId="164" fontId="4" fillId="0" borderId="55" xfId="0" applyNumberFormat="1" applyFont="1" applyBorder="1" applyAlignment="1" applyProtection="1">
      <alignment horizontal="center" vertical="center"/>
      <protection locked="0"/>
    </xf>
    <xf numFmtId="164" fontId="3" fillId="0" borderId="66" xfId="0" applyNumberFormat="1" applyFont="1" applyBorder="1" applyAlignment="1">
      <alignment horizontal="center" vertical="center"/>
    </xf>
    <xf numFmtId="164" fontId="3" fillId="0" borderId="58" xfId="0" applyNumberFormat="1" applyFont="1" applyBorder="1" applyAlignment="1">
      <alignment horizontal="center" vertical="center"/>
    </xf>
    <xf numFmtId="170" fontId="3" fillId="0" borderId="58" xfId="0" applyNumberFormat="1" applyFont="1" applyBorder="1" applyAlignment="1">
      <alignment horizontal="center" vertical="center"/>
    </xf>
    <xf numFmtId="165" fontId="3" fillId="9" borderId="56" xfId="0" applyNumberFormat="1" applyFont="1" applyFill="1" applyBorder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4" fontId="3" fillId="0" borderId="63" xfId="0" applyNumberFormat="1" applyFont="1" applyBorder="1" applyAlignment="1">
      <alignment horizontal="center" vertical="center"/>
    </xf>
    <xf numFmtId="168" fontId="3" fillId="0" borderId="56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14" fontId="5" fillId="6" borderId="0" xfId="0" applyNumberFormat="1" applyFont="1" applyFill="1"/>
    <xf numFmtId="14" fontId="3" fillId="0" borderId="0" xfId="0" applyNumberFormat="1" applyFont="1" applyAlignment="1">
      <alignment wrapText="1"/>
    </xf>
    <xf numFmtId="0" fontId="3" fillId="2" borderId="0" xfId="0" applyFont="1" applyFill="1" applyAlignment="1">
      <alignment horizontal="right" vertical="center"/>
    </xf>
    <xf numFmtId="0" fontId="3" fillId="2" borderId="19" xfId="0" applyFont="1" applyFill="1" applyBorder="1" applyAlignment="1">
      <alignment vertical="center"/>
    </xf>
    <xf numFmtId="164" fontId="3" fillId="2" borderId="24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20" fontId="3" fillId="2" borderId="28" xfId="0" applyNumberFormat="1" applyFont="1" applyFill="1" applyBorder="1" applyAlignment="1">
      <alignment vertical="center"/>
    </xf>
    <xf numFmtId="20" fontId="3" fillId="2" borderId="2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9" fontId="3" fillId="4" borderId="1" xfId="0" applyNumberFormat="1" applyFont="1" applyFill="1" applyBorder="1" applyAlignment="1">
      <alignment vertical="center"/>
    </xf>
    <xf numFmtId="20" fontId="3" fillId="2" borderId="29" xfId="0" applyNumberFormat="1" applyFont="1" applyFill="1" applyBorder="1" applyAlignment="1">
      <alignment vertical="center"/>
    </xf>
    <xf numFmtId="20" fontId="3" fillId="2" borderId="10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9" fontId="3" fillId="3" borderId="1" xfId="0" applyNumberFormat="1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9" fontId="3" fillId="5" borderId="9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5" fontId="3" fillId="4" borderId="7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5" fontId="3" fillId="5" borderId="2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alignment vertical="center"/>
      <protection locked="0"/>
    </xf>
    <xf numFmtId="165" fontId="3" fillId="2" borderId="3" xfId="0" applyNumberFormat="1" applyFont="1" applyFill="1" applyBorder="1" applyAlignment="1">
      <alignment horizontal="center" vertical="center"/>
    </xf>
    <xf numFmtId="165" fontId="4" fillId="0" borderId="7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20" fontId="3" fillId="2" borderId="7" xfId="0" applyNumberFormat="1" applyFont="1" applyFill="1" applyBorder="1" applyAlignment="1">
      <alignment vertical="center"/>
    </xf>
    <xf numFmtId="20" fontId="3" fillId="2" borderId="8" xfId="0" applyNumberFormat="1" applyFont="1" applyFill="1" applyBorder="1" applyAlignment="1">
      <alignment vertical="center"/>
    </xf>
    <xf numFmtId="14" fontId="4" fillId="0" borderId="10" xfId="0" applyNumberFormat="1" applyFont="1" applyBorder="1" applyAlignment="1" applyProtection="1">
      <alignment vertical="center"/>
      <protection locked="0"/>
    </xf>
    <xf numFmtId="165" fontId="3" fillId="2" borderId="14" xfId="0" applyNumberFormat="1" applyFont="1" applyFill="1" applyBorder="1" applyAlignment="1">
      <alignment horizontal="center" vertical="center"/>
    </xf>
    <xf numFmtId="165" fontId="4" fillId="0" borderId="8" xfId="0" applyNumberFormat="1" applyFont="1" applyBorder="1" applyAlignment="1" applyProtection="1">
      <alignment horizontal="center" vertical="center"/>
      <protection locked="0"/>
    </xf>
    <xf numFmtId="165" fontId="4" fillId="0" borderId="9" xfId="0" applyNumberFormat="1" applyFont="1" applyBorder="1" applyAlignment="1" applyProtection="1">
      <alignment horizontal="center" vertical="center"/>
      <protection locked="0"/>
    </xf>
    <xf numFmtId="165" fontId="4" fillId="0" borderId="10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0" fontId="3" fillId="0" borderId="14" xfId="0" applyFont="1" applyBorder="1"/>
    <xf numFmtId="20" fontId="3" fillId="0" borderId="28" xfId="0" applyNumberFormat="1" applyFont="1" applyBorder="1" applyAlignment="1">
      <alignment horizontal="center"/>
    </xf>
    <xf numFmtId="0" fontId="3" fillId="0" borderId="67" xfId="0" applyFont="1" applyBorder="1"/>
    <xf numFmtId="14" fontId="3" fillId="2" borderId="18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right" vertical="center" wrapText="1"/>
    </xf>
    <xf numFmtId="20" fontId="3" fillId="0" borderId="33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vertical="center"/>
    </xf>
    <xf numFmtId="168" fontId="3" fillId="0" borderId="56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9" fontId="3" fillId="4" borderId="23" xfId="0" applyNumberFormat="1" applyFont="1" applyFill="1" applyBorder="1" applyAlignment="1">
      <alignment vertical="center"/>
    </xf>
    <xf numFmtId="10" fontId="3" fillId="3" borderId="23" xfId="0" applyNumberFormat="1" applyFont="1" applyFill="1" applyBorder="1" applyAlignment="1">
      <alignment vertical="center"/>
    </xf>
    <xf numFmtId="10" fontId="3" fillId="5" borderId="34" xfId="0" applyNumberFormat="1" applyFont="1" applyFill="1" applyBorder="1" applyAlignment="1">
      <alignment vertical="center"/>
    </xf>
    <xf numFmtId="0" fontId="16" fillId="0" borderId="0" xfId="0" applyFont="1"/>
    <xf numFmtId="14" fontId="17" fillId="2" borderId="0" xfId="0" applyNumberFormat="1" applyFont="1" applyFill="1"/>
    <xf numFmtId="0" fontId="17" fillId="2" borderId="0" xfId="0" applyFont="1" applyFill="1"/>
    <xf numFmtId="14" fontId="1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4" fontId="17" fillId="2" borderId="21" xfId="0" applyNumberFormat="1" applyFont="1" applyFill="1" applyBorder="1"/>
    <xf numFmtId="0" fontId="17" fillId="2" borderId="21" xfId="0" applyFont="1" applyFill="1" applyBorder="1"/>
    <xf numFmtId="174" fontId="3" fillId="4" borderId="2" xfId="0" applyNumberFormat="1" applyFont="1" applyFill="1" applyBorder="1" applyAlignment="1">
      <alignment vertical="center"/>
    </xf>
    <xf numFmtId="174" fontId="3" fillId="3" borderId="2" xfId="0" applyNumberFormat="1" applyFont="1" applyFill="1" applyBorder="1" applyAlignment="1">
      <alignment vertical="center"/>
    </xf>
    <xf numFmtId="174" fontId="3" fillId="5" borderId="10" xfId="0" applyNumberFormat="1" applyFont="1" applyFill="1" applyBorder="1" applyAlignment="1">
      <alignment vertical="center"/>
    </xf>
    <xf numFmtId="0" fontId="13" fillId="0" borderId="31" xfId="0" applyFont="1" applyBorder="1" applyAlignment="1">
      <alignment horizontal="center"/>
    </xf>
    <xf numFmtId="0" fontId="13" fillId="0" borderId="31" xfId="0" applyFont="1" applyBorder="1"/>
    <xf numFmtId="0" fontId="13" fillId="0" borderId="32" xfId="0" applyFont="1" applyBorder="1"/>
    <xf numFmtId="0" fontId="13" fillId="0" borderId="69" xfId="0" applyFont="1" applyBorder="1"/>
    <xf numFmtId="0" fontId="3" fillId="2" borderId="57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vertical="center" wrapText="1"/>
    </xf>
    <xf numFmtId="0" fontId="4" fillId="2" borderId="73" xfId="0" applyFont="1" applyFill="1" applyBorder="1" applyAlignment="1">
      <alignment horizontal="center" vertical="center" wrapText="1"/>
    </xf>
    <xf numFmtId="164" fontId="5" fillId="6" borderId="0" xfId="0" quotePrefix="1" applyNumberFormat="1" applyFont="1" applyFill="1"/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0" fontId="3" fillId="0" borderId="64" xfId="0" applyFont="1" applyBorder="1"/>
    <xf numFmtId="165" fontId="3" fillId="0" borderId="0" xfId="0" applyNumberFormat="1" applyFont="1" applyAlignment="1">
      <alignment horizontal="center" vertical="center"/>
    </xf>
    <xf numFmtId="165" fontId="5" fillId="10" borderId="0" xfId="0" applyNumberFormat="1" applyFont="1" applyFill="1"/>
    <xf numFmtId="0" fontId="3" fillId="12" borderId="0" xfId="0" applyFont="1" applyFill="1" applyAlignment="1">
      <alignment horizontal="center" vertical="center" wrapText="1"/>
    </xf>
    <xf numFmtId="173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74" fontId="3" fillId="13" borderId="1" xfId="0" applyNumberFormat="1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175" fontId="3" fillId="13" borderId="5" xfId="0" applyNumberFormat="1" applyFont="1" applyFill="1" applyBorder="1" applyAlignment="1">
      <alignment horizontal="center" vertical="center" wrapText="1"/>
    </xf>
    <xf numFmtId="175" fontId="3" fillId="13" borderId="6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3" fillId="0" borderId="6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13" borderId="75" xfId="0" applyFont="1" applyFill="1" applyBorder="1" applyAlignment="1">
      <alignment horizontal="center" vertical="center" wrapText="1"/>
    </xf>
    <xf numFmtId="173" fontId="3" fillId="12" borderId="59" xfId="0" applyNumberFormat="1" applyFont="1" applyFill="1" applyBorder="1" applyAlignment="1">
      <alignment horizontal="center" vertical="center" wrapText="1"/>
    </xf>
    <xf numFmtId="0" fontId="3" fillId="12" borderId="59" xfId="0" applyFont="1" applyFill="1" applyBorder="1" applyAlignment="1">
      <alignment horizontal="center" vertical="center" wrapText="1"/>
    </xf>
    <xf numFmtId="174" fontId="3" fillId="13" borderId="59" xfId="0" applyNumberFormat="1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15" fillId="11" borderId="0" xfId="0" applyFont="1" applyFill="1" applyAlignment="1">
      <alignment vertical="center"/>
    </xf>
    <xf numFmtId="0" fontId="16" fillId="11" borderId="0" xfId="0" applyFont="1" applyFill="1" applyAlignment="1">
      <alignment vertical="center"/>
    </xf>
    <xf numFmtId="0" fontId="3" fillId="11" borderId="0" xfId="0" applyFont="1" applyFill="1" applyAlignment="1">
      <alignment vertical="center"/>
    </xf>
    <xf numFmtId="20" fontId="3" fillId="11" borderId="0" xfId="0" applyNumberFormat="1" applyFont="1" applyFill="1" applyAlignment="1">
      <alignment vertical="center"/>
    </xf>
    <xf numFmtId="0" fontId="5" fillId="11" borderId="0" xfId="0" applyFont="1" applyFill="1" applyAlignment="1">
      <alignment vertical="center"/>
    </xf>
    <xf numFmtId="0" fontId="3" fillId="11" borderId="0" xfId="0" applyFont="1" applyFill="1" applyAlignment="1">
      <alignment horizontal="right" vertical="center"/>
    </xf>
    <xf numFmtId="20" fontId="3" fillId="11" borderId="16" xfId="0" applyNumberFormat="1" applyFont="1" applyFill="1" applyBorder="1" applyAlignment="1">
      <alignment vertical="center"/>
    </xf>
    <xf numFmtId="174" fontId="15" fillId="11" borderId="0" xfId="0" applyNumberFormat="1" applyFont="1" applyFill="1" applyAlignment="1">
      <alignment vertical="center"/>
    </xf>
    <xf numFmtId="0" fontId="3" fillId="11" borderId="21" xfId="0" applyFont="1" applyFill="1" applyBorder="1" applyAlignment="1">
      <alignment vertical="center"/>
    </xf>
    <xf numFmtId="0" fontId="7" fillId="11" borderId="0" xfId="0" applyFont="1" applyFill="1" applyAlignment="1">
      <alignment vertical="center"/>
    </xf>
    <xf numFmtId="176" fontId="15" fillId="11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7" fillId="11" borderId="21" xfId="0" applyFont="1" applyFill="1" applyBorder="1" applyAlignment="1">
      <alignment vertical="center"/>
    </xf>
    <xf numFmtId="0" fontId="7" fillId="11" borderId="0" xfId="0" applyFont="1" applyFill="1" applyAlignment="1">
      <alignment horizontal="center" vertical="center"/>
    </xf>
    <xf numFmtId="20" fontId="7" fillId="11" borderId="0" xfId="0" applyNumberFormat="1" applyFont="1" applyFill="1" applyAlignment="1">
      <alignment vertical="center"/>
    </xf>
    <xf numFmtId="20" fontId="21" fillId="11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0" fontId="3" fillId="0" borderId="64" xfId="0" applyNumberFormat="1" applyFont="1" applyBorder="1" applyAlignment="1">
      <alignment horizontal="center" vertical="center"/>
    </xf>
    <xf numFmtId="165" fontId="3" fillId="9" borderId="55" xfId="0" applyNumberFormat="1" applyFont="1" applyFill="1" applyBorder="1" applyAlignment="1">
      <alignment horizontal="center" vertical="center"/>
    </xf>
    <xf numFmtId="164" fontId="4" fillId="0" borderId="61" xfId="0" applyNumberFormat="1" applyFont="1" applyBorder="1" applyAlignment="1" applyProtection="1">
      <alignment horizontal="center" vertical="center"/>
      <protection locked="0"/>
    </xf>
    <xf numFmtId="164" fontId="4" fillId="0" borderId="64" xfId="0" applyNumberFormat="1" applyFont="1" applyBorder="1" applyAlignment="1" applyProtection="1">
      <alignment horizontal="center" vertical="center"/>
      <protection locked="0"/>
    </xf>
    <xf numFmtId="168" fontId="3" fillId="0" borderId="55" xfId="0" applyNumberFormat="1" applyFont="1" applyBorder="1" applyAlignment="1">
      <alignment horizontal="center" vertical="center"/>
    </xf>
    <xf numFmtId="14" fontId="3" fillId="0" borderId="64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6" borderId="0" xfId="0" applyFont="1" applyFill="1" applyAlignment="1">
      <alignment vertical="center"/>
    </xf>
    <xf numFmtId="14" fontId="5" fillId="6" borderId="0" xfId="0" applyNumberFormat="1" applyFont="1" applyFill="1" applyAlignment="1">
      <alignment vertical="center"/>
    </xf>
    <xf numFmtId="164" fontId="5" fillId="6" borderId="0" xfId="0" applyNumberFormat="1" applyFont="1" applyFill="1" applyAlignment="1">
      <alignment vertical="center"/>
    </xf>
    <xf numFmtId="0" fontId="6" fillId="8" borderId="16" xfId="0" applyFont="1" applyFill="1" applyBorder="1" applyAlignment="1">
      <alignment horizontal="right" vertical="center"/>
    </xf>
    <xf numFmtId="166" fontId="6" fillId="8" borderId="0" xfId="0" applyNumberFormat="1" applyFont="1" applyFill="1" applyAlignment="1">
      <alignment horizontal="right" vertical="center"/>
    </xf>
    <xf numFmtId="0" fontId="6" fillId="8" borderId="0" xfId="0" applyFont="1" applyFill="1" applyAlignment="1">
      <alignment horizontal="right" vertical="center"/>
    </xf>
    <xf numFmtId="167" fontId="6" fillId="6" borderId="0" xfId="0" applyNumberFormat="1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5" fillId="6" borderId="63" xfId="0" applyFont="1" applyFill="1" applyBorder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5" fillId="6" borderId="64" xfId="0" applyFont="1" applyFill="1" applyBorder="1" applyAlignment="1">
      <alignment vertical="center"/>
    </xf>
    <xf numFmtId="14" fontId="5" fillId="6" borderId="64" xfId="0" applyNumberFormat="1" applyFont="1" applyFill="1" applyBorder="1" applyAlignment="1">
      <alignment vertical="center"/>
    </xf>
    <xf numFmtId="164" fontId="5" fillId="6" borderId="6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53" xfId="0" applyNumberForma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3" xfId="0" applyBorder="1" applyAlignment="1">
      <alignment vertical="center"/>
    </xf>
    <xf numFmtId="164" fontId="0" fillId="0" borderId="23" xfId="0" applyNumberForma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5" xfId="0" applyBorder="1" applyAlignment="1">
      <alignment vertical="center"/>
    </xf>
    <xf numFmtId="164" fontId="0" fillId="0" borderId="55" xfId="0" applyNumberFormat="1" applyBorder="1" applyAlignment="1">
      <alignment vertical="center"/>
    </xf>
    <xf numFmtId="0" fontId="4" fillId="0" borderId="6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173" fontId="13" fillId="0" borderId="1" xfId="0" applyNumberFormat="1" applyFont="1" applyBorder="1" applyAlignment="1">
      <alignment horizontal="center" vertical="center"/>
    </xf>
    <xf numFmtId="173" fontId="13" fillId="0" borderId="0" xfId="0" applyNumberFormat="1" applyFont="1" applyAlignment="1">
      <alignment horizontal="center" vertical="center"/>
    </xf>
    <xf numFmtId="0" fontId="13" fillId="0" borderId="31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164" fontId="13" fillId="0" borderId="66" xfId="0" applyNumberFormat="1" applyFont="1" applyBorder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22" fillId="11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173" fontId="13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3" fillId="8" borderId="0" xfId="0" applyFont="1" applyFill="1" applyAlignment="1">
      <alignment vertical="center"/>
    </xf>
    <xf numFmtId="14" fontId="2" fillId="8" borderId="0" xfId="0" applyNumberFormat="1" applyFont="1" applyFill="1" applyAlignment="1" applyProtection="1">
      <alignment vertical="center"/>
      <protection locked="0"/>
    </xf>
    <xf numFmtId="14" fontId="3" fillId="8" borderId="0" xfId="0" applyNumberFormat="1" applyFont="1" applyFill="1" applyAlignment="1" applyProtection="1">
      <alignment vertical="center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1" borderId="0" xfId="0" applyFont="1" applyFill="1" applyAlignment="1">
      <alignment horizontal="center" vertical="center" wrapText="1"/>
    </xf>
    <xf numFmtId="14" fontId="23" fillId="0" borderId="0" xfId="0" applyNumberFormat="1" applyFont="1" applyAlignment="1">
      <alignment horizontal="left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23" xfId="0" applyFont="1" applyBorder="1" applyAlignment="1" applyProtection="1">
      <alignment horizontal="left" vertical="center" wrapText="1"/>
      <protection locked="0"/>
    </xf>
    <xf numFmtId="0" fontId="25" fillId="0" borderId="53" xfId="0" applyFont="1" applyBorder="1" applyAlignment="1" applyProtection="1">
      <alignment horizontal="left" vertical="center" wrapText="1"/>
      <protection locked="0"/>
    </xf>
    <xf numFmtId="0" fontId="25" fillId="0" borderId="56" xfId="0" applyFont="1" applyBorder="1" applyAlignment="1" applyProtection="1">
      <alignment horizontal="left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Alignment="1">
      <alignment vertical="center" wrapText="1"/>
    </xf>
    <xf numFmtId="0" fontId="25" fillId="0" borderId="55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textRotation="45"/>
    </xf>
    <xf numFmtId="0" fontId="5" fillId="6" borderId="0" xfId="0" applyFont="1" applyFill="1" applyAlignment="1">
      <alignment horizontal="center" vertical="center" textRotation="45"/>
    </xf>
    <xf numFmtId="14" fontId="4" fillId="0" borderId="6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9" borderId="55" xfId="0" applyFont="1" applyFill="1" applyBorder="1" applyAlignment="1">
      <alignment horizontal="center" vertical="center" wrapText="1"/>
    </xf>
    <xf numFmtId="0" fontId="6" fillId="6" borderId="64" xfId="0" applyFont="1" applyFill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center" vertical="center" wrapText="1"/>
    </xf>
    <xf numFmtId="164" fontId="6" fillId="6" borderId="0" xfId="0" applyNumberFormat="1" applyFont="1" applyFill="1" applyAlignment="1">
      <alignment horizontal="center" vertical="center" wrapText="1"/>
    </xf>
    <xf numFmtId="165" fontId="6" fillId="6" borderId="0" xfId="0" applyNumberFormat="1" applyFont="1" applyFill="1" applyAlignment="1">
      <alignment horizontal="center" vertical="center" wrapText="1"/>
    </xf>
    <xf numFmtId="165" fontId="6" fillId="10" borderId="0" xfId="0" applyNumberFormat="1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69" fontId="6" fillId="6" borderId="0" xfId="0" applyNumberFormat="1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 shrinkToFit="1"/>
      <protection locked="0"/>
    </xf>
    <xf numFmtId="0" fontId="13" fillId="0" borderId="66" xfId="0" applyFont="1" applyBorder="1" applyAlignment="1" applyProtection="1">
      <alignment horizontal="center" vertical="center" wrapText="1" shrinkToFit="1"/>
      <protection locked="0"/>
    </xf>
    <xf numFmtId="0" fontId="13" fillId="0" borderId="62" xfId="0" applyFont="1" applyBorder="1" applyAlignment="1" applyProtection="1">
      <alignment horizontal="center" vertical="center" wrapText="1" shrinkToFit="1"/>
      <protection locked="0"/>
    </xf>
    <xf numFmtId="165" fontId="5" fillId="6" borderId="0" xfId="0" applyNumberFormat="1" applyFont="1" applyFill="1" applyAlignment="1">
      <alignment vertical="center"/>
    </xf>
    <xf numFmtId="165" fontId="5" fillId="10" borderId="0" xfId="0" applyNumberFormat="1" applyFont="1" applyFill="1" applyAlignment="1">
      <alignment vertical="center"/>
    </xf>
    <xf numFmtId="0" fontId="3" fillId="0" borderId="63" xfId="0" applyFont="1" applyBorder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165" fontId="5" fillId="6" borderId="0" xfId="0" quotePrefix="1" applyNumberFormat="1" applyFont="1" applyFill="1" applyAlignment="1">
      <alignment vertical="center"/>
    </xf>
    <xf numFmtId="165" fontId="5" fillId="10" borderId="0" xfId="0" quotePrefix="1" applyNumberFormat="1" applyFont="1" applyFill="1" applyAlignment="1">
      <alignment vertical="center"/>
    </xf>
    <xf numFmtId="170" fontId="5" fillId="6" borderId="0" xfId="0" applyNumberFormat="1" applyFont="1" applyFill="1" applyAlignment="1">
      <alignment vertical="center"/>
    </xf>
    <xf numFmtId="170" fontId="5" fillId="7" borderId="0" xfId="0" applyNumberFormat="1" applyFont="1" applyFill="1" applyAlignment="1">
      <alignment vertical="center"/>
    </xf>
    <xf numFmtId="164" fontId="5" fillId="6" borderId="0" xfId="0" quotePrefix="1" applyNumberFormat="1" applyFont="1" applyFill="1" applyAlignment="1">
      <alignment vertical="center"/>
    </xf>
    <xf numFmtId="14" fontId="3" fillId="0" borderId="64" xfId="0" applyNumberFormat="1" applyFont="1" applyBorder="1" applyAlignment="1">
      <alignment vertical="center" wrapText="1"/>
    </xf>
    <xf numFmtId="165" fontId="5" fillId="6" borderId="64" xfId="0" quotePrefix="1" applyNumberFormat="1" applyFont="1" applyFill="1" applyBorder="1" applyAlignment="1">
      <alignment vertical="center"/>
    </xf>
    <xf numFmtId="164" fontId="5" fillId="6" borderId="64" xfId="0" quotePrefix="1" applyNumberFormat="1" applyFont="1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3" xfId="0" applyBorder="1" applyAlignment="1">
      <alignment vertical="center"/>
    </xf>
    <xf numFmtId="164" fontId="0" fillId="0" borderId="0" xfId="0" applyNumberFormat="1" applyAlignment="1">
      <alignment vertical="center" wrapText="1"/>
    </xf>
    <xf numFmtId="164" fontId="18" fillId="11" borderId="61" xfId="0" applyNumberFormat="1" applyFont="1" applyFill="1" applyBorder="1" applyAlignment="1">
      <alignment vertical="center"/>
    </xf>
    <xf numFmtId="164" fontId="18" fillId="11" borderId="63" xfId="0" applyNumberFormat="1" applyFont="1" applyFill="1" applyBorder="1" applyAlignment="1">
      <alignment vertical="center"/>
    </xf>
    <xf numFmtId="164" fontId="18" fillId="11" borderId="0" xfId="0" applyNumberFormat="1" applyFont="1" applyFill="1" applyAlignment="1">
      <alignment vertical="center"/>
    </xf>
    <xf numFmtId="164" fontId="18" fillId="0" borderId="0" xfId="0" applyNumberFormat="1" applyFont="1" applyAlignment="1">
      <alignment vertical="center"/>
    </xf>
    <xf numFmtId="164" fontId="20" fillId="0" borderId="0" xfId="0" applyNumberFormat="1" applyFont="1" applyAlignment="1">
      <alignment vertical="center"/>
    </xf>
    <xf numFmtId="0" fontId="5" fillId="6" borderId="0" xfId="0" applyFont="1" applyFill="1" applyProtection="1">
      <protection locked="0"/>
    </xf>
    <xf numFmtId="164" fontId="3" fillId="8" borderId="0" xfId="0" applyNumberFormat="1" applyFont="1" applyFill="1" applyAlignment="1">
      <alignment vertical="center"/>
    </xf>
    <xf numFmtId="164" fontId="2" fillId="8" borderId="0" xfId="0" applyNumberFormat="1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vertical="center" wrapText="1"/>
    </xf>
    <xf numFmtId="14" fontId="26" fillId="8" borderId="20" xfId="0" applyNumberFormat="1" applyFont="1" applyFill="1" applyBorder="1" applyAlignment="1">
      <alignment horizontal="center" vertical="center"/>
    </xf>
    <xf numFmtId="167" fontId="27" fillId="8" borderId="21" xfId="0" applyNumberFormat="1" applyFont="1" applyFill="1" applyBorder="1" applyAlignment="1">
      <alignment horizontal="right" vertical="center"/>
    </xf>
    <xf numFmtId="0" fontId="26" fillId="8" borderId="21" xfId="0" applyFont="1" applyFill="1" applyBorder="1" applyAlignment="1">
      <alignment horizontal="center" vertical="center"/>
    </xf>
    <xf numFmtId="0" fontId="27" fillId="8" borderId="21" xfId="0" applyFont="1" applyFill="1" applyBorder="1" applyAlignment="1">
      <alignment horizontal="right" vertical="center"/>
    </xf>
    <xf numFmtId="0" fontId="26" fillId="8" borderId="22" xfId="0" applyFont="1" applyFill="1" applyBorder="1" applyAlignment="1">
      <alignment horizontal="center" vertical="center"/>
    </xf>
    <xf numFmtId="0" fontId="3" fillId="8" borderId="0" xfId="0" applyFont="1" applyFill="1" applyAlignment="1" applyProtection="1">
      <alignment vertical="center"/>
      <protection locked="0"/>
    </xf>
    <xf numFmtId="0" fontId="2" fillId="8" borderId="0" xfId="0" applyFont="1" applyFill="1" applyAlignment="1" applyProtection="1">
      <alignment vertical="center"/>
      <protection locked="0"/>
    </xf>
    <xf numFmtId="168" fontId="7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28" fillId="6" borderId="0" xfId="0" applyNumberFormat="1" applyFont="1" applyFill="1"/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165" fontId="28" fillId="6" borderId="0" xfId="0" quotePrefix="1" applyNumberFormat="1" applyFont="1" applyFill="1"/>
    <xf numFmtId="165" fontId="28" fillId="10" borderId="0" xfId="0" quotePrefix="1" applyNumberFormat="1" applyFont="1" applyFill="1"/>
    <xf numFmtId="0" fontId="28" fillId="6" borderId="0" xfId="0" applyFont="1" applyFill="1"/>
    <xf numFmtId="170" fontId="28" fillId="6" borderId="0" xfId="0" applyNumberFormat="1" applyFont="1" applyFill="1"/>
    <xf numFmtId="170" fontId="28" fillId="7" borderId="0" xfId="0" applyNumberFormat="1" applyFont="1" applyFill="1"/>
    <xf numFmtId="170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28" fillId="6" borderId="0" xfId="0" applyNumberFormat="1" applyFont="1" applyFill="1"/>
    <xf numFmtId="165" fontId="28" fillId="10" borderId="0" xfId="0" applyNumberFormat="1" applyFont="1" applyFill="1"/>
    <xf numFmtId="169" fontId="28" fillId="6" borderId="0" xfId="0" applyNumberFormat="1" applyFont="1" applyFill="1"/>
    <xf numFmtId="0" fontId="28" fillId="7" borderId="0" xfId="0" applyFont="1" applyFill="1"/>
    <xf numFmtId="164" fontId="29" fillId="6" borderId="1" xfId="0" applyNumberFormat="1" applyFont="1" applyFill="1" applyBorder="1"/>
    <xf numFmtId="0" fontId="29" fillId="6" borderId="1" xfId="0" applyFont="1" applyFill="1" applyBorder="1"/>
    <xf numFmtId="0" fontId="7" fillId="11" borderId="18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0" borderId="0" xfId="0" applyFont="1"/>
    <xf numFmtId="0" fontId="2" fillId="8" borderId="0" xfId="0" applyFont="1" applyFill="1" applyAlignment="1">
      <alignment vertical="center"/>
    </xf>
    <xf numFmtId="0" fontId="3" fillId="14" borderId="0" xfId="0" applyFont="1" applyFill="1"/>
    <xf numFmtId="0" fontId="3" fillId="14" borderId="28" xfId="0" applyFont="1" applyFill="1" applyBorder="1"/>
    <xf numFmtId="0" fontId="3" fillId="14" borderId="67" xfId="0" applyFont="1" applyFill="1" applyBorder="1"/>
    <xf numFmtId="0" fontId="3" fillId="14" borderId="33" xfId="0" applyFont="1" applyFill="1" applyBorder="1"/>
    <xf numFmtId="0" fontId="3" fillId="14" borderId="68" xfId="0" applyFont="1" applyFill="1" applyBorder="1"/>
    <xf numFmtId="0" fontId="13" fillId="14" borderId="0" xfId="0" applyFont="1" applyFill="1" applyAlignment="1">
      <alignment vertical="center"/>
    </xf>
    <xf numFmtId="0" fontId="13" fillId="14" borderId="28" xfId="0" applyFont="1" applyFill="1" applyBorder="1"/>
    <xf numFmtId="0" fontId="13" fillId="14" borderId="67" xfId="0" applyFont="1" applyFill="1" applyBorder="1"/>
    <xf numFmtId="0" fontId="13" fillId="14" borderId="33" xfId="0" applyFont="1" applyFill="1" applyBorder="1"/>
    <xf numFmtId="0" fontId="13" fillId="14" borderId="68" xfId="0" applyFont="1" applyFill="1" applyBorder="1"/>
    <xf numFmtId="0" fontId="13" fillId="14" borderId="0" xfId="0" applyFont="1" applyFill="1"/>
    <xf numFmtId="165" fontId="8" fillId="11" borderId="0" xfId="0" applyNumberFormat="1" applyFont="1" applyFill="1" applyAlignment="1">
      <alignment horizontal="center" vertical="center"/>
    </xf>
    <xf numFmtId="0" fontId="15" fillId="11" borderId="0" xfId="0" applyFont="1" applyFill="1" applyAlignment="1" applyProtection="1">
      <alignment vertical="center"/>
      <protection hidden="1"/>
    </xf>
    <xf numFmtId="0" fontId="16" fillId="11" borderId="0" xfId="0" applyFont="1" applyFill="1" applyAlignment="1" applyProtection="1">
      <alignment vertical="center"/>
      <protection hidden="1"/>
    </xf>
    <xf numFmtId="0" fontId="3" fillId="2" borderId="2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0" fontId="4" fillId="2" borderId="30" xfId="0" applyNumberFormat="1" applyFont="1" applyFill="1" applyBorder="1" applyAlignment="1">
      <alignment horizontal="center" vertical="center"/>
    </xf>
    <xf numFmtId="20" fontId="4" fillId="2" borderId="31" xfId="0" applyNumberFormat="1" applyFont="1" applyFill="1" applyBorder="1" applyAlignment="1">
      <alignment horizontal="center" vertical="center"/>
    </xf>
    <xf numFmtId="20" fontId="4" fillId="2" borderId="32" xfId="0" applyNumberFormat="1" applyFont="1" applyFill="1" applyBorder="1" applyAlignment="1">
      <alignment horizontal="center" vertical="center"/>
    </xf>
    <xf numFmtId="20" fontId="4" fillId="2" borderId="28" xfId="0" applyNumberFormat="1" applyFont="1" applyFill="1" applyBorder="1" applyAlignment="1">
      <alignment horizontal="center" vertical="center"/>
    </xf>
    <xf numFmtId="20" fontId="4" fillId="2" borderId="2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20" fontId="3" fillId="2" borderId="28" xfId="0" applyNumberFormat="1" applyFont="1" applyFill="1" applyBorder="1" applyAlignment="1">
      <alignment horizontal="center" vertical="center"/>
    </xf>
    <xf numFmtId="20" fontId="3" fillId="2" borderId="23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66" fontId="3" fillId="2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13" fillId="2" borderId="59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165" fontId="4" fillId="2" borderId="60" xfId="0" applyNumberFormat="1" applyFont="1" applyFill="1" applyBorder="1" applyAlignment="1">
      <alignment horizontal="center" vertical="center"/>
    </xf>
    <xf numFmtId="0" fontId="3" fillId="14" borderId="0" xfId="0" applyFont="1" applyFill="1" applyAlignment="1">
      <alignment horizontal="center" vertical="center" wrapText="1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14" borderId="30" xfId="0" applyFont="1" applyFill="1" applyBorder="1" applyAlignment="1">
      <alignment horizontal="center"/>
    </xf>
    <xf numFmtId="0" fontId="4" fillId="14" borderId="31" xfId="0" applyFont="1" applyFill="1" applyBorder="1" applyAlignment="1">
      <alignment horizontal="center"/>
    </xf>
    <xf numFmtId="0" fontId="4" fillId="14" borderId="32" xfId="0" applyFont="1" applyFill="1" applyBorder="1" applyAlignment="1">
      <alignment horizontal="center"/>
    </xf>
    <xf numFmtId="0" fontId="11" fillId="14" borderId="30" xfId="0" applyFont="1" applyFill="1" applyBorder="1" applyAlignment="1">
      <alignment horizontal="center"/>
    </xf>
    <xf numFmtId="0" fontId="11" fillId="14" borderId="31" xfId="0" applyFont="1" applyFill="1" applyBorder="1" applyAlignment="1">
      <alignment horizontal="center"/>
    </xf>
    <xf numFmtId="0" fontId="11" fillId="14" borderId="32" xfId="0" applyFont="1" applyFill="1" applyBorder="1" applyAlignment="1">
      <alignment horizontal="center"/>
    </xf>
    <xf numFmtId="0" fontId="3" fillId="0" borderId="60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28" xfId="0" applyFont="1" applyBorder="1" applyAlignment="1">
      <alignment horizontal="right"/>
    </xf>
    <xf numFmtId="0" fontId="3" fillId="0" borderId="60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71" xfId="0" applyFont="1" applyBorder="1" applyAlignment="1">
      <alignment horizontal="right"/>
    </xf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167" fontId="26" fillId="8" borderId="21" xfId="0" applyNumberFormat="1" applyFont="1" applyFill="1" applyBorder="1" applyAlignment="1">
      <alignment horizontal="center" vertical="center"/>
    </xf>
    <xf numFmtId="166" fontId="4" fillId="8" borderId="0" xfId="0" applyNumberFormat="1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 textRotation="45"/>
    </xf>
    <xf numFmtId="0" fontId="4" fillId="8" borderId="16" xfId="0" applyFont="1" applyFill="1" applyBorder="1" applyAlignment="1">
      <alignment horizontal="right" vertical="center"/>
    </xf>
    <xf numFmtId="0" fontId="4" fillId="8" borderId="0" xfId="0" applyFont="1" applyFill="1" applyAlignment="1">
      <alignment horizontal="right"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textRotation="45"/>
    </xf>
    <xf numFmtId="165" fontId="5" fillId="10" borderId="0" xfId="0" applyNumberFormat="1" applyFont="1" applyFill="1" applyAlignment="1">
      <alignment horizontal="center" vertical="center" textRotation="45"/>
    </xf>
    <xf numFmtId="0" fontId="4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64" fontId="0" fillId="0" borderId="59" xfId="0" applyNumberFormat="1" applyBorder="1" applyAlignment="1">
      <alignment horizontal="center" vertical="center" wrapText="1"/>
    </xf>
    <xf numFmtId="164" fontId="0" fillId="0" borderId="66" xfId="0" applyNumberFormat="1" applyBorder="1" applyAlignment="1">
      <alignment horizontal="center" vertical="center" wrapText="1"/>
    </xf>
    <xf numFmtId="164" fontId="0" fillId="0" borderId="62" xfId="0" applyNumberForma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8" fontId="13" fillId="0" borderId="24" xfId="0" applyNumberFormat="1" applyFont="1" applyBorder="1" applyAlignment="1">
      <alignment horizontal="center" vertical="center"/>
    </xf>
    <xf numFmtId="168" fontId="13" fillId="0" borderId="60" xfId="0" applyNumberFormat="1" applyFont="1" applyBorder="1" applyAlignment="1">
      <alignment horizontal="center" vertical="center"/>
    </xf>
    <xf numFmtId="168" fontId="13" fillId="0" borderId="23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5" fillId="7" borderId="5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75" fontId="3" fillId="0" borderId="49" xfId="0" applyNumberFormat="1" applyFont="1" applyBorder="1" applyAlignment="1">
      <alignment horizontal="center" vertical="center" wrapText="1"/>
    </xf>
    <xf numFmtId="175" fontId="3" fillId="0" borderId="35" xfId="0" applyNumberFormat="1" applyFont="1" applyBorder="1" applyAlignment="1">
      <alignment horizontal="center" vertical="center" wrapText="1"/>
    </xf>
    <xf numFmtId="175" fontId="3" fillId="0" borderId="50" xfId="0" applyNumberFormat="1" applyFont="1" applyBorder="1" applyAlignment="1">
      <alignment horizontal="center" vertical="center" wrapText="1"/>
    </xf>
    <xf numFmtId="20" fontId="4" fillId="2" borderId="74" xfId="0" applyNumberFormat="1" applyFont="1" applyFill="1" applyBorder="1" applyAlignment="1">
      <alignment horizontal="center" vertical="center" wrapText="1"/>
    </xf>
    <xf numFmtId="20" fontId="4" fillId="2" borderId="72" xfId="0" applyNumberFormat="1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75" fontId="3" fillId="0" borderId="36" xfId="0" applyNumberFormat="1" applyFont="1" applyBorder="1" applyAlignment="1">
      <alignment horizontal="center" vertical="center" wrapText="1"/>
    </xf>
    <xf numFmtId="175" fontId="3" fillId="0" borderId="42" xfId="0" applyNumberFormat="1" applyFont="1" applyBorder="1" applyAlignment="1">
      <alignment horizontal="center" vertical="center" wrapText="1"/>
    </xf>
    <xf numFmtId="175" fontId="3" fillId="0" borderId="48" xfId="0" applyNumberFormat="1" applyFont="1" applyBorder="1" applyAlignment="1">
      <alignment horizontal="center" vertical="center" wrapText="1"/>
    </xf>
    <xf numFmtId="20" fontId="3" fillId="2" borderId="28" xfId="0" applyNumberFormat="1" applyFont="1" applyFill="1" applyBorder="1" applyAlignment="1">
      <alignment horizontal="center" vertical="center" wrapText="1"/>
    </xf>
    <xf numFmtId="20" fontId="3" fillId="2" borderId="60" xfId="0" applyNumberFormat="1" applyFont="1" applyFill="1" applyBorder="1" applyAlignment="1">
      <alignment horizontal="center" vertical="center" wrapText="1"/>
    </xf>
    <xf numFmtId="20" fontId="3" fillId="2" borderId="23" xfId="0" applyNumberFormat="1" applyFont="1" applyFill="1" applyBorder="1" applyAlignment="1">
      <alignment horizontal="center" vertical="center" wrapText="1"/>
    </xf>
    <xf numFmtId="20" fontId="4" fillId="2" borderId="25" xfId="0" applyNumberFormat="1" applyFont="1" applyFill="1" applyBorder="1" applyAlignment="1">
      <alignment horizontal="center" vertical="center" wrapText="1"/>
    </xf>
    <xf numFmtId="20" fontId="4" fillId="2" borderId="26" xfId="0" applyNumberFormat="1" applyFont="1" applyFill="1" applyBorder="1" applyAlignment="1">
      <alignment horizontal="center" vertical="center" wrapText="1"/>
    </xf>
    <xf numFmtId="20" fontId="4" fillId="2" borderId="27" xfId="0" applyNumberFormat="1" applyFont="1" applyFill="1" applyBorder="1" applyAlignment="1">
      <alignment horizontal="center" vertical="center" wrapText="1"/>
    </xf>
    <xf numFmtId="20" fontId="3" fillId="2" borderId="30" xfId="0" applyNumberFormat="1" applyFont="1" applyFill="1" applyBorder="1" applyAlignment="1">
      <alignment horizontal="center" vertical="center" wrapText="1"/>
    </xf>
    <xf numFmtId="20" fontId="3" fillId="2" borderId="31" xfId="0" applyNumberFormat="1" applyFont="1" applyFill="1" applyBorder="1" applyAlignment="1">
      <alignment horizontal="center" vertical="center" wrapText="1"/>
    </xf>
    <xf numFmtId="20" fontId="3" fillId="2" borderId="11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20" fontId="3" fillId="2" borderId="33" xfId="0" applyNumberFormat="1" applyFont="1" applyFill="1" applyBorder="1" applyAlignment="1">
      <alignment horizontal="center" vertical="center" wrapText="1"/>
    </xf>
    <xf numFmtId="20" fontId="3" fillId="2" borderId="71" xfId="0" applyNumberFormat="1" applyFont="1" applyFill="1" applyBorder="1" applyAlignment="1">
      <alignment horizontal="center" vertical="center" wrapText="1"/>
    </xf>
    <xf numFmtId="20" fontId="3" fillId="2" borderId="34" xfId="0" applyNumberFormat="1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11" fillId="1" borderId="1" xfId="0" applyFont="1" applyFill="1" applyBorder="1" applyAlignment="1">
      <alignment horizontal="center" vertical="center"/>
    </xf>
    <xf numFmtId="172" fontId="13" fillId="0" borderId="1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59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1" fontId="13" fillId="0" borderId="1" xfId="0" applyNumberFormat="1" applyFont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249"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rgb="FFFF43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5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ont>
        <b/>
        <i val="0"/>
        <color auto="1"/>
      </font>
      <numFmt numFmtId="177" formatCode="[h]:mm;[Black]\-[hh]:mm"/>
      <fill>
        <patternFill>
          <bgColor rgb="FFFF00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ellenformat 1" pivot="0" count="3">
      <tableStyleElement type="wholeTable" dxfId="248"/>
      <tableStyleElement type="headerRow" dxfId="247"/>
      <tableStyleElement type="firstColumn" dxfId="246"/>
    </tableStyle>
  </tableStyles>
  <colors>
    <mruColors>
      <color rgb="FFFF4343"/>
      <color rgb="FFF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5</xdr:row>
      <xdr:rowOff>0</xdr:rowOff>
    </xdr:from>
    <xdr:to>
      <xdr:col>3</xdr:col>
      <xdr:colOff>906780</xdr:colOff>
      <xdr:row>5</xdr:row>
      <xdr:rowOff>213360</xdr:rowOff>
    </xdr:to>
    <xdr:sp macro="" textlink="">
      <xdr:nvSpPr>
        <xdr:cNvPr id="1027" name="Option Button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EG 01-09</a:t>
          </a:r>
        </a:p>
      </xdr:txBody>
    </xdr:sp>
    <xdr:clientData fLocksWithSheet="0"/>
  </xdr:twoCellAnchor>
  <xdr:twoCellAnchor editAs="oneCell">
    <xdr:from>
      <xdr:col>3</xdr:col>
      <xdr:colOff>1264920</xdr:colOff>
      <xdr:row>5</xdr:row>
      <xdr:rowOff>0</xdr:rowOff>
    </xdr:from>
    <xdr:to>
      <xdr:col>4</xdr:col>
      <xdr:colOff>655320</xdr:colOff>
      <xdr:row>5</xdr:row>
      <xdr:rowOff>213360</xdr:rowOff>
    </xdr:to>
    <xdr:sp macro="" textlink="">
      <xdr:nvSpPr>
        <xdr:cNvPr id="1028" name="Option Button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EG 10-15</a:t>
          </a:r>
        </a:p>
      </xdr:txBody>
    </xdr:sp>
    <xdr:clientData fLocksWithSheet="0"/>
  </xdr:twoCellAnchor>
  <xdr:twoCellAnchor editAs="oneCell">
    <xdr:from>
      <xdr:col>2</xdr:col>
      <xdr:colOff>670560</xdr:colOff>
      <xdr:row>11</xdr:row>
      <xdr:rowOff>289560</xdr:rowOff>
    </xdr:from>
    <xdr:to>
      <xdr:col>3</xdr:col>
      <xdr:colOff>769620</xdr:colOff>
      <xdr:row>13</xdr:row>
      <xdr:rowOff>7620</xdr:rowOff>
    </xdr:to>
    <xdr:sp macro=""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83820</xdr:colOff>
      <xdr:row>0</xdr:row>
      <xdr:rowOff>175260</xdr:rowOff>
    </xdr:from>
    <xdr:to>
      <xdr:col>48</xdr:col>
      <xdr:colOff>447675</xdr:colOff>
      <xdr:row>1</xdr:row>
      <xdr:rowOff>180975</xdr:rowOff>
    </xdr:to>
    <xdr:sp macro="" textlink="">
      <xdr:nvSpPr>
        <xdr:cNvPr id="13313" name="Check Box 1" hidden="1">
          <a:extLst>
            <a:ext uri="{63B3BB69-23CF-44E3-9099-C40C66FF867C}">
              <a14:compatExt xmlns:a14="http://schemas.microsoft.com/office/drawing/2010/main" spid="_x0000_s13313"/>
            </a:ext>
            <a:ext uri="{FF2B5EF4-FFF2-40B4-BE49-F238E27FC236}">
              <a16:creationId xmlns:a16="http://schemas.microsoft.com/office/drawing/2014/main" id="{00000000-0008-0000-0A00-000001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447675</xdr:colOff>
      <xdr:row>1</xdr:row>
      <xdr:rowOff>180975</xdr:rowOff>
    </xdr:to>
    <xdr:sp macro="" textlink="">
      <xdr:nvSpPr>
        <xdr:cNvPr id="13314" name="Check Box 2" hidden="1">
          <a:extLst>
            <a:ext uri="{63B3BB69-23CF-44E3-9099-C40C66FF867C}">
              <a14:compatExt xmlns:a14="http://schemas.microsoft.com/office/drawing/2010/main" spid="_x0000_s13314"/>
            </a:ext>
            <a:ext uri="{FF2B5EF4-FFF2-40B4-BE49-F238E27FC236}">
              <a16:creationId xmlns:a16="http://schemas.microsoft.com/office/drawing/2014/main" id="{00000000-0008-0000-0A00-000002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447675</xdr:colOff>
      <xdr:row>1</xdr:row>
      <xdr:rowOff>180975</xdr:rowOff>
    </xdr:to>
    <xdr:sp macro="" textlink="">
      <xdr:nvSpPr>
        <xdr:cNvPr id="13315" name="Check Box 3" hidden="1">
          <a:extLst>
            <a:ext uri="{63B3BB69-23CF-44E3-9099-C40C66FF867C}">
              <a14:compatExt xmlns:a14="http://schemas.microsoft.com/office/drawing/2010/main" spid="_x0000_s13315"/>
            </a:ext>
            <a:ext uri="{FF2B5EF4-FFF2-40B4-BE49-F238E27FC236}">
              <a16:creationId xmlns:a16="http://schemas.microsoft.com/office/drawing/2014/main" id="{00000000-0008-0000-0A00-000003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447675</xdr:colOff>
      <xdr:row>1</xdr:row>
      <xdr:rowOff>180975</xdr:rowOff>
    </xdr:to>
    <xdr:sp macro="" textlink="">
      <xdr:nvSpPr>
        <xdr:cNvPr id="13316" name="Check Box 4" hidden="1">
          <a:extLst>
            <a:ext uri="{63B3BB69-23CF-44E3-9099-C40C66FF867C}">
              <a14:compatExt xmlns:a14="http://schemas.microsoft.com/office/drawing/2010/main" spid="_x0000_s13316"/>
            </a:ext>
            <a:ext uri="{FF2B5EF4-FFF2-40B4-BE49-F238E27FC236}">
              <a16:creationId xmlns:a16="http://schemas.microsoft.com/office/drawing/2014/main" id="{00000000-0008-0000-0A00-000004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14337" name="Check Box 1" hidden="1">
          <a:extLst>
            <a:ext uri="{63B3BB69-23CF-44E3-9099-C40C66FF867C}">
              <a14:compatExt xmlns:a14="http://schemas.microsoft.com/office/drawing/2010/main" spid="_x0000_s14337"/>
            </a:ext>
            <a:ext uri="{FF2B5EF4-FFF2-40B4-BE49-F238E27FC236}">
              <a16:creationId xmlns:a16="http://schemas.microsoft.com/office/drawing/2014/main" id="{00000000-0008-0000-0B00-0000013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14338" name="Check Box 2" hidden="1">
          <a:extLst>
            <a:ext uri="{63B3BB69-23CF-44E3-9099-C40C66FF867C}">
              <a14:compatExt xmlns:a14="http://schemas.microsoft.com/office/drawing/2010/main" spid="_x0000_s14338"/>
            </a:ext>
            <a:ext uri="{FF2B5EF4-FFF2-40B4-BE49-F238E27FC236}">
              <a16:creationId xmlns:a16="http://schemas.microsoft.com/office/drawing/2014/main" id="{00000000-0008-0000-0B00-0000023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14339" name="Check Box 3" hidden="1">
          <a:extLst>
            <a:ext uri="{63B3BB69-23CF-44E3-9099-C40C66FF867C}">
              <a14:compatExt xmlns:a14="http://schemas.microsoft.com/office/drawing/2010/main" spid="_x0000_s14339"/>
            </a:ext>
            <a:ext uri="{FF2B5EF4-FFF2-40B4-BE49-F238E27FC236}">
              <a16:creationId xmlns:a16="http://schemas.microsoft.com/office/drawing/2014/main" id="{00000000-0008-0000-0B00-0000033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14340" name="Check Box 4" hidden="1">
          <a:extLst>
            <a:ext uri="{63B3BB69-23CF-44E3-9099-C40C66FF867C}">
              <a14:compatExt xmlns:a14="http://schemas.microsoft.com/office/drawing/2010/main" spid="_x0000_s14340"/>
            </a:ext>
            <a:ext uri="{FF2B5EF4-FFF2-40B4-BE49-F238E27FC236}">
              <a16:creationId xmlns:a16="http://schemas.microsoft.com/office/drawing/2014/main" id="{00000000-0008-0000-0B00-0000043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15361" name="Check Box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0000000-0008-0000-0C00-0000013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15362" name="Check Box 2" hidden="1">
          <a:extLst>
            <a:ext uri="{63B3BB69-23CF-44E3-9099-C40C66FF867C}">
              <a14:compatExt xmlns:a14="http://schemas.microsoft.com/office/drawing/2010/main" spid="_x0000_s15362"/>
            </a:ext>
            <a:ext uri="{FF2B5EF4-FFF2-40B4-BE49-F238E27FC236}">
              <a16:creationId xmlns:a16="http://schemas.microsoft.com/office/drawing/2014/main" id="{00000000-0008-0000-0C00-0000023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15363" name="Check Box 3" hidden="1">
          <a:extLst>
            <a:ext uri="{63B3BB69-23CF-44E3-9099-C40C66FF867C}">
              <a14:compatExt xmlns:a14="http://schemas.microsoft.com/office/drawing/2010/main" spid="_x0000_s15363"/>
            </a:ext>
            <a:ext uri="{FF2B5EF4-FFF2-40B4-BE49-F238E27FC236}">
              <a16:creationId xmlns:a16="http://schemas.microsoft.com/office/drawing/2014/main" id="{00000000-0008-0000-0C00-0000033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15364" name="Check Box 4" hidden="1">
          <a:extLst>
            <a:ext uri="{63B3BB69-23CF-44E3-9099-C40C66FF867C}">
              <a14:compatExt xmlns:a14="http://schemas.microsoft.com/office/drawing/2010/main" spid="_x0000_s15364"/>
            </a:ext>
            <a:ext uri="{FF2B5EF4-FFF2-40B4-BE49-F238E27FC236}">
              <a16:creationId xmlns:a16="http://schemas.microsoft.com/office/drawing/2014/main" id="{00000000-0008-0000-0C00-0000043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99060</xdr:colOff>
      <xdr:row>0</xdr:row>
      <xdr:rowOff>190500</xdr:rowOff>
    </xdr:from>
    <xdr:to>
      <xdr:col>49</xdr:col>
      <xdr:colOff>333375</xdr:colOff>
      <xdr:row>3</xdr:row>
      <xdr:rowOff>0</xdr:rowOff>
    </xdr:to>
    <xdr:sp macro="" textlink="">
      <xdr:nvSpPr>
        <xdr:cNvPr id="16387" name="Check Box 3" hidden="1">
          <a:extLst>
            <a:ext uri="{63B3BB69-23CF-44E3-9099-C40C66FF867C}">
              <a14:compatExt xmlns:a14="http://schemas.microsoft.com/office/drawing/2010/main" spid="_x0000_s16387"/>
            </a:ext>
            <a:ext uri="{FF2B5EF4-FFF2-40B4-BE49-F238E27FC236}">
              <a16:creationId xmlns:a16="http://schemas.microsoft.com/office/drawing/2014/main" id="{00000000-0008-0000-0D00-0000034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CECE9E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C6D9F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4098" name="Check Box 2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4102" name="Check Box 6" hidden="1">
          <a:extLst>
            <a:ext uri="{63B3BB69-23CF-44E3-9099-C40C66FF867C}">
              <a14:compatExt xmlns:a14="http://schemas.microsoft.com/office/drawing/2010/main" spid="_x0000_s4102"/>
            </a:ex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4103" name="Check Box 7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190500</xdr:rowOff>
    </xdr:to>
    <xdr:sp macro="" textlink="">
      <xdr:nvSpPr>
        <xdr:cNvPr id="6145" name="Check Box 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190500</xdr:rowOff>
    </xdr:to>
    <xdr:sp macro="" textlink="">
      <xdr:nvSpPr>
        <xdr:cNvPr id="6149" name="Check Box 5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190500</xdr:rowOff>
    </xdr:to>
    <xdr:sp macro="" textlink="">
      <xdr:nvSpPr>
        <xdr:cNvPr id="6150" name="Check Box 6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190500</xdr:rowOff>
    </xdr:to>
    <xdr:sp macro="" textlink="">
      <xdr:nvSpPr>
        <xdr:cNvPr id="6151" name="Check Box 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190500</xdr:rowOff>
    </xdr:to>
    <xdr:sp macro="" textlink="">
      <xdr:nvSpPr>
        <xdr:cNvPr id="6152" name="Check Box 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300-000008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190500</xdr:rowOff>
    </xdr:to>
    <xdr:sp macro="" textlink="">
      <xdr:nvSpPr>
        <xdr:cNvPr id="6153" name="Check Box 9" hidden="1">
          <a:extLst>
            <a:ext uri="{63B3BB69-23CF-44E3-9099-C40C66FF867C}">
              <a14:compatExt xmlns:a14="http://schemas.microsoft.com/office/drawing/2010/main" spid="_x0000_s6153"/>
            </a:ex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190500</xdr:rowOff>
    </xdr:to>
    <xdr:sp macro="" textlink="">
      <xdr:nvSpPr>
        <xdr:cNvPr id="6154" name="Check Box 10" hidden="1">
          <a:extLst>
            <a:ext uri="{63B3BB69-23CF-44E3-9099-C40C66FF867C}">
              <a14:compatExt xmlns:a14="http://schemas.microsoft.com/office/drawing/2010/main" spid="_x0000_s6154"/>
            </a:ext>
            <a:ext uri="{FF2B5EF4-FFF2-40B4-BE49-F238E27FC236}">
              <a16:creationId xmlns:a16="http://schemas.microsoft.com/office/drawing/2014/main" id="{00000000-0008-0000-0300-00000A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7169" name="Check Box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4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7170" name="Check Box 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400-000002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7173" name="Check Box 5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400-000005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7174" name="Check Box 6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400-000006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7175" name="Check Box 7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400-000007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7176" name="Check Box 8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400-000008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7177" name="Check Box 9" hidden="1">
          <a:extLst>
            <a:ext uri="{63B3BB69-23CF-44E3-9099-C40C66FF867C}">
              <a14:compatExt xmlns:a14="http://schemas.microsoft.com/office/drawing/2010/main" spid="_x0000_s7177"/>
            </a:ext>
            <a:ext uri="{FF2B5EF4-FFF2-40B4-BE49-F238E27FC236}">
              <a16:creationId xmlns:a16="http://schemas.microsoft.com/office/drawing/2014/main" id="{00000000-0008-0000-0400-000009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7178" name="Check Box 10" hidden="1">
          <a:extLst>
            <a:ext uri="{63B3BB69-23CF-44E3-9099-C40C66FF867C}">
              <a14:compatExt xmlns:a14="http://schemas.microsoft.com/office/drawing/2010/main" spid="_x0000_s7178"/>
            </a:ext>
            <a:ext uri="{FF2B5EF4-FFF2-40B4-BE49-F238E27FC236}">
              <a16:creationId xmlns:a16="http://schemas.microsoft.com/office/drawing/2014/main" id="{00000000-0008-0000-0400-00000A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8193" name="Check Box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500-00000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8194" name="Check Box 2" hidden="1">
          <a:extLst>
            <a:ext uri="{63B3BB69-23CF-44E3-9099-C40C66FF867C}">
              <a14:compatExt xmlns:a14="http://schemas.microsoft.com/office/drawing/2010/main" spid="_x0000_s8194"/>
            </a:ext>
            <a:ext uri="{FF2B5EF4-FFF2-40B4-BE49-F238E27FC236}">
              <a16:creationId xmlns:a16="http://schemas.microsoft.com/office/drawing/2014/main" id="{00000000-0008-0000-0500-000002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8195" name="Check Box 3" hidden="1">
          <a:extLst>
            <a:ext uri="{63B3BB69-23CF-44E3-9099-C40C66FF867C}">
              <a14:compatExt xmlns:a14="http://schemas.microsoft.com/office/drawing/2010/main" spid="_x0000_s8195"/>
            </a:ext>
            <a:ext uri="{FF2B5EF4-FFF2-40B4-BE49-F238E27FC236}">
              <a16:creationId xmlns:a16="http://schemas.microsoft.com/office/drawing/2014/main" id="{00000000-0008-0000-0500-000003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8196" name="Check Box 4" hidden="1">
          <a:extLst>
            <a:ext uri="{63B3BB69-23CF-44E3-9099-C40C66FF867C}">
              <a14:compatExt xmlns:a14="http://schemas.microsoft.com/office/drawing/2010/main" spid="_x0000_s8196"/>
            </a:ext>
            <a:ext uri="{FF2B5EF4-FFF2-40B4-BE49-F238E27FC236}">
              <a16:creationId xmlns:a16="http://schemas.microsoft.com/office/drawing/2014/main" id="{00000000-0008-0000-0500-000004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8197" name="Check Box 5" hidden="1">
          <a:extLst>
            <a:ext uri="{63B3BB69-23CF-44E3-9099-C40C66FF867C}">
              <a14:compatExt xmlns:a14="http://schemas.microsoft.com/office/drawing/2010/main" spid="_x0000_s8197"/>
            </a:ext>
            <a:ext uri="{FF2B5EF4-FFF2-40B4-BE49-F238E27FC236}">
              <a16:creationId xmlns:a16="http://schemas.microsoft.com/office/drawing/2014/main" id="{00000000-0008-0000-0500-000005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8198" name="Check Box 6" hidden="1">
          <a:extLst>
            <a:ext uri="{63B3BB69-23CF-44E3-9099-C40C66FF867C}">
              <a14:compatExt xmlns:a14="http://schemas.microsoft.com/office/drawing/2010/main" spid="_x0000_s8198"/>
            </a:ext>
            <a:ext uri="{FF2B5EF4-FFF2-40B4-BE49-F238E27FC236}">
              <a16:creationId xmlns:a16="http://schemas.microsoft.com/office/drawing/2014/main" id="{00000000-0008-0000-0500-000006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8199" name="Check Box 7" hidden="1">
          <a:extLst>
            <a:ext uri="{63B3BB69-23CF-44E3-9099-C40C66FF867C}">
              <a14:compatExt xmlns:a14="http://schemas.microsoft.com/office/drawing/2010/main" spid="_x0000_s8199"/>
            </a:ext>
            <a:ext uri="{FF2B5EF4-FFF2-40B4-BE49-F238E27FC236}">
              <a16:creationId xmlns:a16="http://schemas.microsoft.com/office/drawing/2014/main" id="{00000000-0008-0000-0500-000007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8200" name="Check Box 8" hidden="1">
          <a:extLst>
            <a:ext uri="{63B3BB69-23CF-44E3-9099-C40C66FF867C}">
              <a14:compatExt xmlns:a14="http://schemas.microsoft.com/office/drawing/2010/main" spid="_x0000_s8200"/>
            </a:ext>
            <a:ext uri="{FF2B5EF4-FFF2-40B4-BE49-F238E27FC236}">
              <a16:creationId xmlns:a16="http://schemas.microsoft.com/office/drawing/2014/main" id="{00000000-0008-0000-0500-000008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9217" name="Check Box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600-0000012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9218" name="Check Box 2" hidden="1">
          <a:extLst>
            <a:ext uri="{63B3BB69-23CF-44E3-9099-C40C66FF867C}">
              <a14:compatExt xmlns:a14="http://schemas.microsoft.com/office/drawing/2010/main" spid="_x0000_s9218"/>
            </a:ext>
            <a:ext uri="{FF2B5EF4-FFF2-40B4-BE49-F238E27FC236}">
              <a16:creationId xmlns:a16="http://schemas.microsoft.com/office/drawing/2014/main" id="{00000000-0008-0000-0600-0000022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9219" name="Check Box 3" hidden="1">
          <a:extLst>
            <a:ext uri="{63B3BB69-23CF-44E3-9099-C40C66FF867C}">
              <a14:compatExt xmlns:a14="http://schemas.microsoft.com/office/drawing/2010/main" spid="_x0000_s9219"/>
            </a:ext>
            <a:ext uri="{FF2B5EF4-FFF2-40B4-BE49-F238E27FC236}">
              <a16:creationId xmlns:a16="http://schemas.microsoft.com/office/drawing/2014/main" id="{00000000-0008-0000-0600-0000032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9220" name="Check Box 4" hidden="1">
          <a:extLst>
            <a:ext uri="{63B3BB69-23CF-44E3-9099-C40C66FF867C}">
              <a14:compatExt xmlns:a14="http://schemas.microsoft.com/office/drawing/2010/main" spid="_x0000_s9220"/>
            </a:ext>
            <a:ext uri="{FF2B5EF4-FFF2-40B4-BE49-F238E27FC236}">
              <a16:creationId xmlns:a16="http://schemas.microsoft.com/office/drawing/2014/main" id="{00000000-0008-0000-0600-0000042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9221" name="Check Box 5" hidden="1">
          <a:extLst>
            <a:ext uri="{63B3BB69-23CF-44E3-9099-C40C66FF867C}">
              <a14:compatExt xmlns:a14="http://schemas.microsoft.com/office/drawing/2010/main" spid="_x0000_s9221"/>
            </a:ext>
            <a:ext uri="{FF2B5EF4-FFF2-40B4-BE49-F238E27FC236}">
              <a16:creationId xmlns:a16="http://schemas.microsoft.com/office/drawing/2014/main" id="{00000000-0008-0000-0600-0000052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9222" name="Check Box 6" hidden="1">
          <a:extLst>
            <a:ext uri="{63B3BB69-23CF-44E3-9099-C40C66FF867C}">
              <a14:compatExt xmlns:a14="http://schemas.microsoft.com/office/drawing/2010/main" spid="_x0000_s9222"/>
            </a:ext>
            <a:ext uri="{FF2B5EF4-FFF2-40B4-BE49-F238E27FC236}">
              <a16:creationId xmlns:a16="http://schemas.microsoft.com/office/drawing/2014/main" id="{00000000-0008-0000-0600-0000062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9223" name="Check Box 7" hidden="1">
          <a:extLst>
            <a:ext uri="{63B3BB69-23CF-44E3-9099-C40C66FF867C}">
              <a14:compatExt xmlns:a14="http://schemas.microsoft.com/office/drawing/2010/main" spid="_x0000_s9223"/>
            </a:ext>
            <a:ext uri="{FF2B5EF4-FFF2-40B4-BE49-F238E27FC236}">
              <a16:creationId xmlns:a16="http://schemas.microsoft.com/office/drawing/2014/main" id="{00000000-0008-0000-0600-0000072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9224" name="Check Box 8" hidden="1">
          <a:extLst>
            <a:ext uri="{63B3BB69-23CF-44E3-9099-C40C66FF867C}">
              <a14:compatExt xmlns:a14="http://schemas.microsoft.com/office/drawing/2010/main" spid="_x0000_s9224"/>
            </a:ext>
            <a:ext uri="{FF2B5EF4-FFF2-40B4-BE49-F238E27FC236}">
              <a16:creationId xmlns:a16="http://schemas.microsoft.com/office/drawing/2014/main" id="{00000000-0008-0000-0600-0000082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83820</xdr:colOff>
      <xdr:row>0</xdr:row>
      <xdr:rowOff>175260</xdr:rowOff>
    </xdr:from>
    <xdr:to>
      <xdr:col>48</xdr:col>
      <xdr:colOff>434340</xdr:colOff>
      <xdr:row>1</xdr:row>
      <xdr:rowOff>173355</xdr:rowOff>
    </xdr:to>
    <xdr:sp macro="" textlink="">
      <xdr:nvSpPr>
        <xdr:cNvPr id="10241" name="Check Box 1" hidden="1">
          <a:extLst>
            <a:ext uri="{63B3BB69-23CF-44E3-9099-C40C66FF867C}">
              <a14:compatExt xmlns:a14="http://schemas.microsoft.com/office/drawing/2010/main" spid="_x0000_s10241"/>
            </a:ext>
            <a:ext uri="{FF2B5EF4-FFF2-40B4-BE49-F238E27FC236}">
              <a16:creationId xmlns:a16="http://schemas.microsoft.com/office/drawing/2014/main" id="{00000000-0008-0000-0700-000001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434340</xdr:colOff>
      <xdr:row>1</xdr:row>
      <xdr:rowOff>173355</xdr:rowOff>
    </xdr:to>
    <xdr:sp macro="" textlink="">
      <xdr:nvSpPr>
        <xdr:cNvPr id="10242" name="Check Box 2" hidden="1">
          <a:extLst>
            <a:ext uri="{63B3BB69-23CF-44E3-9099-C40C66FF867C}">
              <a14:compatExt xmlns:a14="http://schemas.microsoft.com/office/drawing/2010/main" spid="_x0000_s10242"/>
            </a:ext>
            <a:ext uri="{FF2B5EF4-FFF2-40B4-BE49-F238E27FC236}">
              <a16:creationId xmlns:a16="http://schemas.microsoft.com/office/drawing/2014/main" id="{00000000-0008-0000-0700-000002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434340</xdr:colOff>
      <xdr:row>1</xdr:row>
      <xdr:rowOff>173355</xdr:rowOff>
    </xdr:to>
    <xdr:sp macro="" textlink="">
      <xdr:nvSpPr>
        <xdr:cNvPr id="10243" name="Check Box 3" hidden="1">
          <a:extLst>
            <a:ext uri="{63B3BB69-23CF-44E3-9099-C40C66FF867C}">
              <a14:compatExt xmlns:a14="http://schemas.microsoft.com/office/drawing/2010/main" spid="_x0000_s10243"/>
            </a:ext>
            <a:ext uri="{FF2B5EF4-FFF2-40B4-BE49-F238E27FC236}">
              <a16:creationId xmlns:a16="http://schemas.microsoft.com/office/drawing/2014/main" id="{00000000-0008-0000-0700-000003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434340</xdr:colOff>
      <xdr:row>1</xdr:row>
      <xdr:rowOff>173355</xdr:rowOff>
    </xdr:to>
    <xdr:sp macro="" textlink="">
      <xdr:nvSpPr>
        <xdr:cNvPr id="10244" name="Check Box 4" hidden="1">
          <a:extLst>
            <a:ext uri="{63B3BB69-23CF-44E3-9099-C40C66FF867C}">
              <a14:compatExt xmlns:a14="http://schemas.microsoft.com/office/drawing/2010/main" spid="_x0000_s10244"/>
            </a:ext>
            <a:ext uri="{FF2B5EF4-FFF2-40B4-BE49-F238E27FC236}">
              <a16:creationId xmlns:a16="http://schemas.microsoft.com/office/drawing/2014/main" id="{00000000-0008-0000-0700-000004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434340</xdr:colOff>
      <xdr:row>1</xdr:row>
      <xdr:rowOff>173355</xdr:rowOff>
    </xdr:to>
    <xdr:sp macro="" textlink="">
      <xdr:nvSpPr>
        <xdr:cNvPr id="10245" name="Check Box 5" hidden="1">
          <a:extLst>
            <a:ext uri="{63B3BB69-23CF-44E3-9099-C40C66FF867C}">
              <a14:compatExt xmlns:a14="http://schemas.microsoft.com/office/drawing/2010/main" spid="_x0000_s10245"/>
            </a:ext>
            <a:ext uri="{FF2B5EF4-FFF2-40B4-BE49-F238E27FC236}">
              <a16:creationId xmlns:a16="http://schemas.microsoft.com/office/drawing/2014/main" id="{00000000-0008-0000-0700-000005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434340</xdr:colOff>
      <xdr:row>1</xdr:row>
      <xdr:rowOff>173355</xdr:rowOff>
    </xdr:to>
    <xdr:sp macro="" textlink="">
      <xdr:nvSpPr>
        <xdr:cNvPr id="10246" name="Check Box 6" hidden="1">
          <a:extLst>
            <a:ext uri="{63B3BB69-23CF-44E3-9099-C40C66FF867C}">
              <a14:compatExt xmlns:a14="http://schemas.microsoft.com/office/drawing/2010/main" spid="_x0000_s10246"/>
            </a:ext>
            <a:ext uri="{FF2B5EF4-FFF2-40B4-BE49-F238E27FC236}">
              <a16:creationId xmlns:a16="http://schemas.microsoft.com/office/drawing/2014/main" id="{00000000-0008-0000-0700-000006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434340</xdr:colOff>
      <xdr:row>1</xdr:row>
      <xdr:rowOff>173355</xdr:rowOff>
    </xdr:to>
    <xdr:sp macro="" textlink="">
      <xdr:nvSpPr>
        <xdr:cNvPr id="10247" name="Check Box 7" hidden="1">
          <a:extLst>
            <a:ext uri="{63B3BB69-23CF-44E3-9099-C40C66FF867C}">
              <a14:compatExt xmlns:a14="http://schemas.microsoft.com/office/drawing/2010/main" spid="_x0000_s10247"/>
            </a:ext>
            <a:ext uri="{FF2B5EF4-FFF2-40B4-BE49-F238E27FC236}">
              <a16:creationId xmlns:a16="http://schemas.microsoft.com/office/drawing/2014/main" id="{00000000-0008-0000-0700-000007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434340</xdr:colOff>
      <xdr:row>1</xdr:row>
      <xdr:rowOff>173355</xdr:rowOff>
    </xdr:to>
    <xdr:sp macro="" textlink="">
      <xdr:nvSpPr>
        <xdr:cNvPr id="10248" name="Check Box 8" hidden="1">
          <a:extLst>
            <a:ext uri="{63B3BB69-23CF-44E3-9099-C40C66FF867C}">
              <a14:compatExt xmlns:a14="http://schemas.microsoft.com/office/drawing/2010/main" spid="_x0000_s10248"/>
            </a:ext>
            <a:ext uri="{FF2B5EF4-FFF2-40B4-BE49-F238E27FC236}">
              <a16:creationId xmlns:a16="http://schemas.microsoft.com/office/drawing/2014/main" id="{00000000-0008-0000-0700-000008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83820</xdr:colOff>
      <xdr:row>0</xdr:row>
      <xdr:rowOff>175260</xdr:rowOff>
    </xdr:from>
    <xdr:to>
      <xdr:col>48</xdr:col>
      <xdr:colOff>434340</xdr:colOff>
      <xdr:row>1</xdr:row>
      <xdr:rowOff>173355</xdr:rowOff>
    </xdr:to>
    <xdr:sp macro="" textlink="">
      <xdr:nvSpPr>
        <xdr:cNvPr id="11265" name="Check Box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800-0000012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434340</xdr:colOff>
      <xdr:row>1</xdr:row>
      <xdr:rowOff>173355</xdr:rowOff>
    </xdr:to>
    <xdr:sp macro="" textlink="">
      <xdr:nvSpPr>
        <xdr:cNvPr id="11266" name="Check Box 2" hidden="1">
          <a:extLst>
            <a:ext uri="{63B3BB69-23CF-44E3-9099-C40C66FF867C}">
              <a14:compatExt xmlns:a14="http://schemas.microsoft.com/office/drawing/2010/main" spid="_x0000_s11266"/>
            </a:ext>
            <a:ext uri="{FF2B5EF4-FFF2-40B4-BE49-F238E27FC236}">
              <a16:creationId xmlns:a16="http://schemas.microsoft.com/office/drawing/2014/main" id="{00000000-0008-0000-0800-0000022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434340</xdr:colOff>
      <xdr:row>1</xdr:row>
      <xdr:rowOff>173355</xdr:rowOff>
    </xdr:to>
    <xdr:sp macro="" textlink="">
      <xdr:nvSpPr>
        <xdr:cNvPr id="11267" name="Check Box 3" hidden="1">
          <a:extLst>
            <a:ext uri="{63B3BB69-23CF-44E3-9099-C40C66FF867C}">
              <a14:compatExt xmlns:a14="http://schemas.microsoft.com/office/drawing/2010/main" spid="_x0000_s11267"/>
            </a:ext>
            <a:ext uri="{FF2B5EF4-FFF2-40B4-BE49-F238E27FC236}">
              <a16:creationId xmlns:a16="http://schemas.microsoft.com/office/drawing/2014/main" id="{00000000-0008-0000-0800-0000032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434340</xdr:colOff>
      <xdr:row>1</xdr:row>
      <xdr:rowOff>173355</xdr:rowOff>
    </xdr:to>
    <xdr:sp macro="" textlink="">
      <xdr:nvSpPr>
        <xdr:cNvPr id="11268" name="Check Box 4" hidden="1">
          <a:extLst>
            <a:ext uri="{63B3BB69-23CF-44E3-9099-C40C66FF867C}">
              <a14:compatExt xmlns:a14="http://schemas.microsoft.com/office/drawing/2010/main" spid="_x0000_s11268"/>
            </a:ext>
            <a:ext uri="{FF2B5EF4-FFF2-40B4-BE49-F238E27FC236}">
              <a16:creationId xmlns:a16="http://schemas.microsoft.com/office/drawing/2014/main" id="{00000000-0008-0000-0800-0000042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434340</xdr:colOff>
      <xdr:row>1</xdr:row>
      <xdr:rowOff>173355</xdr:rowOff>
    </xdr:to>
    <xdr:sp macro="" textlink="">
      <xdr:nvSpPr>
        <xdr:cNvPr id="11269" name="Check Box 5" hidden="1">
          <a:extLst>
            <a:ext uri="{63B3BB69-23CF-44E3-9099-C40C66FF867C}">
              <a14:compatExt xmlns:a14="http://schemas.microsoft.com/office/drawing/2010/main" spid="_x0000_s11269"/>
            </a:ext>
            <a:ext uri="{FF2B5EF4-FFF2-40B4-BE49-F238E27FC236}">
              <a16:creationId xmlns:a16="http://schemas.microsoft.com/office/drawing/2014/main" id="{00000000-0008-0000-0800-0000052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12289" name="Check Box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9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12290" name="Check Box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900-000002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12291" name="Check Box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900-000003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12292" name="Check Box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900-000004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  <xdr:twoCellAnchor editAs="oneCell">
    <xdr:from>
      <xdr:col>47</xdr:col>
      <xdr:colOff>83820</xdr:colOff>
      <xdr:row>0</xdr:row>
      <xdr:rowOff>175260</xdr:rowOff>
    </xdr:from>
    <xdr:to>
      <xdr:col>48</xdr:col>
      <xdr:colOff>438150</xdr:colOff>
      <xdr:row>1</xdr:row>
      <xdr:rowOff>180975</xdr:rowOff>
    </xdr:to>
    <xdr:sp macro="" textlink="">
      <xdr:nvSpPr>
        <xdr:cNvPr id="12293" name="Check Box 5" hidden="1">
          <a:extLst>
            <a:ext uri="{63B3BB69-23CF-44E3-9099-C40C66FF867C}">
              <a14:compatExt xmlns:a14="http://schemas.microsoft.com/office/drawing/2010/main" spid="_x0000_s12293"/>
            </a:ext>
            <a:ext uri="{FF2B5EF4-FFF2-40B4-BE49-F238E27FC236}">
              <a16:creationId xmlns:a16="http://schemas.microsoft.com/office/drawing/2014/main" id="{00000000-0008-0000-0900-000005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Gitterlinie an?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Y233"/>
  <sheetViews>
    <sheetView tabSelected="1" zoomScale="85" zoomScaleNormal="85" workbookViewId="0">
      <selection activeCell="D3" sqref="D3:E3"/>
    </sheetView>
  </sheetViews>
  <sheetFormatPr baseColWidth="10" defaultColWidth="11.42578125" defaultRowHeight="15" x14ac:dyDescent="0.25"/>
  <cols>
    <col min="1" max="1" width="11.42578125" style="197"/>
    <col min="2" max="2" width="16.28515625" style="29" customWidth="1"/>
    <col min="3" max="3" width="15.42578125" style="29" customWidth="1"/>
    <col min="4" max="4" width="22.85546875" style="29" customWidth="1"/>
    <col min="5" max="7" width="11.42578125" style="29"/>
    <col min="8" max="8" width="13" style="29" customWidth="1"/>
    <col min="9" max="9" width="13.140625" style="29" customWidth="1"/>
    <col min="10" max="10" width="11.42578125" style="29"/>
    <col min="11" max="11" width="14.5703125" style="29" customWidth="1"/>
    <col min="12" max="12" width="15.28515625" style="29" customWidth="1"/>
    <col min="13" max="13" width="16.7109375" style="29" customWidth="1"/>
    <col min="14" max="14" width="14.7109375" style="29" customWidth="1"/>
    <col min="15" max="15" width="14.28515625" style="29" customWidth="1"/>
    <col min="16" max="16" width="16.28515625" style="29" customWidth="1"/>
    <col min="17" max="17" width="15.85546875" style="29" customWidth="1"/>
    <col min="18" max="20" width="11.42578125" style="197"/>
    <col min="21" max="21" width="11.42578125" style="199"/>
    <col min="22" max="25" width="11.42578125" style="197"/>
    <col min="26" max="16384" width="11.42578125" style="29"/>
  </cols>
  <sheetData>
    <row r="1" spans="2:21" s="197" customFormat="1" ht="15.75" thickBot="1" x14ac:dyDescent="0.3">
      <c r="H1" s="203"/>
      <c r="I1" s="203"/>
      <c r="J1" s="203"/>
      <c r="K1" s="203"/>
      <c r="L1" s="203"/>
      <c r="M1" s="203"/>
      <c r="N1" s="203"/>
      <c r="O1" s="203"/>
      <c r="P1" s="203"/>
      <c r="Q1" s="203"/>
      <c r="U1" s="199"/>
    </row>
    <row r="2" spans="2:21" ht="16.5" x14ac:dyDescent="0.25">
      <c r="B2" s="393" t="s">
        <v>0</v>
      </c>
      <c r="C2" s="394"/>
      <c r="D2" s="394"/>
      <c r="E2" s="394"/>
      <c r="F2" s="395"/>
      <c r="G2" s="197"/>
      <c r="H2" s="423" t="str">
        <f>"Übersicht für "&amp;D9</f>
        <v>Übersicht für 2019</v>
      </c>
      <c r="I2" s="424"/>
      <c r="J2" s="424"/>
      <c r="K2" s="424"/>
      <c r="L2" s="424"/>
      <c r="M2" s="424"/>
      <c r="N2" s="424"/>
      <c r="O2" s="424"/>
      <c r="P2" s="424"/>
      <c r="Q2" s="425"/>
      <c r="R2" s="204"/>
      <c r="S2" s="204"/>
    </row>
    <row r="3" spans="2:21" ht="20.25" customHeight="1" x14ac:dyDescent="0.25">
      <c r="B3" s="379" t="s">
        <v>1</v>
      </c>
      <c r="C3" s="380"/>
      <c r="D3" s="396" t="s">
        <v>2</v>
      </c>
      <c r="E3" s="396"/>
      <c r="F3" s="92"/>
      <c r="G3" s="197"/>
      <c r="H3" s="419" t="s">
        <v>3</v>
      </c>
      <c r="I3" s="417"/>
      <c r="J3" s="93">
        <f ca="1">AZ_Übertrag</f>
        <v>0</v>
      </c>
      <c r="K3" s="94">
        <f ca="1">R14</f>
        <v>1</v>
      </c>
      <c r="L3" s="432" t="str">
        <f>B13</f>
        <v>Arbeitszeitkonto</v>
      </c>
      <c r="M3" s="433"/>
      <c r="N3" s="434">
        <f>AZK_Übertrag</f>
        <v>0</v>
      </c>
      <c r="O3" s="435"/>
      <c r="P3" s="420" t="s">
        <v>4</v>
      </c>
      <c r="Q3" s="422">
        <f>NETWORKDAYS(DATE(YEAR(D9),1,1),DATE(YEAR(D9)+1,1,1)-1,Feiertage)</f>
        <v>261</v>
      </c>
      <c r="R3" s="204"/>
      <c r="S3" s="204"/>
    </row>
    <row r="4" spans="2:21" ht="20.25" customHeight="1" x14ac:dyDescent="0.25">
      <c r="B4" s="379" t="s">
        <v>5</v>
      </c>
      <c r="C4" s="380"/>
      <c r="D4" s="397">
        <v>16833</v>
      </c>
      <c r="E4" s="397"/>
      <c r="F4" s="92"/>
      <c r="G4" s="197"/>
      <c r="H4" s="419" t="s">
        <v>6</v>
      </c>
      <c r="I4" s="417"/>
      <c r="J4" s="412">
        <f>RestUrlaub</f>
        <v>0</v>
      </c>
      <c r="K4" s="412"/>
      <c r="L4" s="430" t="str">
        <f>B33</f>
        <v>Dienstreise</v>
      </c>
      <c r="M4" s="369"/>
      <c r="N4" s="430">
        <f>DR_gesamt</f>
        <v>0</v>
      </c>
      <c r="O4" s="431"/>
      <c r="P4" s="421"/>
      <c r="Q4" s="422"/>
      <c r="R4" s="204"/>
      <c r="S4" s="204"/>
    </row>
    <row r="5" spans="2:21" ht="30" customHeight="1" thickBot="1" x14ac:dyDescent="0.3">
      <c r="B5" s="379" t="s">
        <v>7</v>
      </c>
      <c r="C5" s="380"/>
      <c r="D5" s="396">
        <v>123456789</v>
      </c>
      <c r="E5" s="396"/>
      <c r="F5" s="92"/>
      <c r="G5" s="197"/>
      <c r="H5" s="428" t="str">
        <f>B30</f>
        <v>Arbeitsunfähigkeit mit AU-Schein</v>
      </c>
      <c r="I5" s="429"/>
      <c r="J5" s="412">
        <f>Krank_gesamt</f>
        <v>0</v>
      </c>
      <c r="K5" s="412"/>
      <c r="L5" s="417" t="str">
        <f>B42</f>
        <v>Arbeitsbefreiung nach § 29 (1) TV-L</v>
      </c>
      <c r="M5" s="417"/>
      <c r="N5" s="412">
        <f>gesamt_29_1</f>
        <v>0</v>
      </c>
      <c r="O5" s="430"/>
      <c r="P5" s="350" t="s">
        <v>8</v>
      </c>
      <c r="Q5" s="351">
        <f>SUM(Jan!K43,Feb!K43,Mrz!K43,Apr!K43,Mai!K43,Jun!K43,Jul!K43,Aug!K43,Sep!K43,Okt!K43,Nov!K43,Dez!K43)</f>
        <v>0</v>
      </c>
      <c r="R5" s="204"/>
      <c r="S5" s="204"/>
    </row>
    <row r="6" spans="2:21" ht="20.25" customHeight="1" x14ac:dyDescent="0.25">
      <c r="B6" s="95"/>
      <c r="C6" s="91" t="s">
        <v>9</v>
      </c>
      <c r="D6" s="148"/>
      <c r="E6" s="148"/>
      <c r="F6" s="92"/>
      <c r="G6" s="197"/>
      <c r="H6" s="419" t="str">
        <f>B37</f>
        <v>Kur</v>
      </c>
      <c r="I6" s="417"/>
      <c r="J6" s="412">
        <f>Kur_gesamt</f>
        <v>0</v>
      </c>
      <c r="K6" s="412"/>
      <c r="L6" s="417" t="str">
        <f>B43</f>
        <v>Arbeitsbefreiung nach § 29 (2) TV-L</v>
      </c>
      <c r="M6" s="417"/>
      <c r="N6" s="412">
        <f>gesamt_29_2</f>
        <v>0</v>
      </c>
      <c r="O6" s="416"/>
      <c r="P6" s="204"/>
      <c r="Q6" s="204"/>
      <c r="R6" s="204"/>
      <c r="S6" s="204"/>
    </row>
    <row r="7" spans="2:21" ht="20.25" customHeight="1" x14ac:dyDescent="0.25">
      <c r="B7" s="96"/>
      <c r="C7" s="97" t="s">
        <v>10</v>
      </c>
      <c r="D7" s="398" t="s">
        <v>11</v>
      </c>
      <c r="E7" s="398"/>
      <c r="F7" s="92"/>
      <c r="G7" s="197"/>
      <c r="H7" s="419" t="str">
        <f>B32</f>
        <v>Kind Krank</v>
      </c>
      <c r="I7" s="417"/>
      <c r="J7" s="412">
        <f>KK_gesamt</f>
        <v>0</v>
      </c>
      <c r="K7" s="412"/>
      <c r="L7" s="417">
        <f>B44</f>
        <v>0</v>
      </c>
      <c r="M7" s="417"/>
      <c r="N7" s="412">
        <f>gesamt_29_3</f>
        <v>0</v>
      </c>
      <c r="O7" s="416"/>
      <c r="P7" s="204"/>
      <c r="Q7" s="204"/>
      <c r="R7" s="204"/>
      <c r="S7" s="204"/>
    </row>
    <row r="8" spans="2:21" ht="29.25" customHeight="1" x14ac:dyDescent="0.25">
      <c r="B8" s="390" t="s">
        <v>12</v>
      </c>
      <c r="C8" s="391"/>
      <c r="D8" s="391"/>
      <c r="E8" s="391"/>
      <c r="F8" s="392"/>
      <c r="G8" s="197"/>
      <c r="H8" s="426" t="str">
        <f>B31</f>
        <v>Arbeitsunfähigkeit ohne AU-Schein</v>
      </c>
      <c r="I8" s="427"/>
      <c r="J8" s="412">
        <f>K_gesamt</f>
        <v>0</v>
      </c>
      <c r="K8" s="412"/>
      <c r="L8" s="417" t="str">
        <f>B45</f>
        <v>Arbeitsbefreiung nach § 29 (4) TV-L</v>
      </c>
      <c r="M8" s="417"/>
      <c r="N8" s="412">
        <f>gesamt_29_4</f>
        <v>0</v>
      </c>
      <c r="O8" s="416"/>
      <c r="P8" s="349"/>
      <c r="Q8" s="204"/>
      <c r="R8" s="204"/>
      <c r="S8" s="204"/>
    </row>
    <row r="9" spans="2:21" ht="20.25" customHeight="1" thickBot="1" x14ac:dyDescent="0.3">
      <c r="B9" s="379" t="s">
        <v>13</v>
      </c>
      <c r="C9" s="380"/>
      <c r="D9" s="399">
        <v>2019</v>
      </c>
      <c r="E9" s="399"/>
      <c r="F9" s="92"/>
      <c r="G9" s="197"/>
      <c r="H9" s="410" t="str">
        <f>B34</f>
        <v>Weiterbildung</v>
      </c>
      <c r="I9" s="411"/>
      <c r="J9" s="415">
        <f>WB_gesam</f>
        <v>0</v>
      </c>
      <c r="K9" s="415"/>
      <c r="L9" s="411"/>
      <c r="M9" s="411"/>
      <c r="N9" s="415"/>
      <c r="O9" s="418"/>
      <c r="P9" s="204"/>
      <c r="Q9" s="204"/>
      <c r="R9" s="204"/>
      <c r="S9" s="204"/>
    </row>
    <row r="10" spans="2:21" x14ac:dyDescent="0.25">
      <c r="B10" s="379" t="s">
        <v>14</v>
      </c>
      <c r="C10" s="380"/>
      <c r="D10" s="400">
        <f>DATEVALUE("01."&amp;"01."&amp;D9-1)</f>
        <v>41639</v>
      </c>
      <c r="E10" s="400"/>
      <c r="F10" s="92"/>
      <c r="G10" s="204"/>
      <c r="H10" s="204"/>
      <c r="I10" s="204"/>
      <c r="J10" s="204"/>
      <c r="K10" s="204"/>
      <c r="L10" s="204"/>
      <c r="M10" s="204"/>
      <c r="N10" s="204"/>
      <c r="O10" s="204"/>
      <c r="P10" s="197"/>
      <c r="Q10" s="197"/>
    </row>
    <row r="11" spans="2:21" ht="23.25" customHeight="1" x14ac:dyDescent="0.25">
      <c r="B11" s="371" t="str">
        <f>"Übertrag von Plus- oder Minus-Stunden in "&amp;D9</f>
        <v>Übertrag von Plus- oder Minus-Stunden in 2019</v>
      </c>
      <c r="C11" s="91" t="s">
        <v>15</v>
      </c>
      <c r="D11" s="401"/>
      <c r="E11" s="401"/>
      <c r="F11" s="370" t="s">
        <v>16</v>
      </c>
      <c r="G11" s="196" t="e">
        <f>IF(ISERROR(FIND(":",D11)),IF(ISERROR(FIND(",",D11)),IF(ISERR(FIND(".",D11)),"fehler",(LEFT(D11,FIND(".",D11)-1))&amp;","&amp;RIGHT(D11,FIND(".",D11)))*1,D11*1),D11*24)</f>
        <v>#VALUE!</v>
      </c>
      <c r="H11" s="202">
        <f>I11/24</f>
        <v>0</v>
      </c>
      <c r="I11" s="196">
        <f>IF(AND(ISERROR(G11),ISERROR(G12)),0,IF(ISERROR(G11),G12,IF(ISERROR(G12),G11,0)))</f>
        <v>0</v>
      </c>
      <c r="J11" s="204"/>
      <c r="K11" s="204"/>
      <c r="L11" s="204"/>
      <c r="M11" s="204"/>
      <c r="N11" s="204"/>
      <c r="O11" s="204"/>
      <c r="P11" s="197"/>
      <c r="Q11" s="197"/>
    </row>
    <row r="12" spans="2:21" ht="23.25" customHeight="1" thickBot="1" x14ac:dyDescent="0.3">
      <c r="B12" s="371"/>
      <c r="C12" s="91" t="s">
        <v>17</v>
      </c>
      <c r="D12" s="402"/>
      <c r="E12" s="402"/>
      <c r="F12" s="370"/>
      <c r="G12" s="196" t="e">
        <f>IF(ISERROR(FIND(":",D12)),IF(ISERROR(FIND(",",D12)),IF(ISERR(FIND(".",D12)),"fehler",(LEFT(D12,FIND(".",D12)-1))&amp;","&amp;RIGHT(D12,FIND(".",D12)))*-1,D12*-1),D12*-24)</f>
        <v>#VALUE!</v>
      </c>
      <c r="H12" s="205">
        <f>IF(ISERR(FIND(":",AZ_Guthaben)),_xlfn.NUMBERVALUE(AZ_Guthaben)/24,IF( ISERROR(FIND(",",AZ_Guthaben)),_xlfn.NUMBERVALUE(AZ_Guthaben),"fehler"))</f>
        <v>0</v>
      </c>
      <c r="I12" s="196"/>
      <c r="J12" s="204"/>
      <c r="K12" s="204"/>
      <c r="L12" s="207"/>
      <c r="M12" s="207"/>
      <c r="N12" s="207"/>
      <c r="O12" s="207"/>
      <c r="P12" s="203"/>
      <c r="Q12" s="203"/>
      <c r="R12" s="196"/>
      <c r="S12" s="196"/>
      <c r="T12" s="196"/>
    </row>
    <row r="13" spans="2:21" x14ac:dyDescent="0.25">
      <c r="B13" s="96" t="s">
        <v>18</v>
      </c>
      <c r="C13" s="97"/>
      <c r="D13" s="401"/>
      <c r="E13" s="401"/>
      <c r="F13" s="92"/>
      <c r="G13" s="197"/>
      <c r="H13" s="413" t="s">
        <v>19</v>
      </c>
      <c r="I13" s="414"/>
      <c r="J13" s="208"/>
      <c r="K13" s="98" t="s">
        <v>20</v>
      </c>
      <c r="L13" s="405" t="s">
        <v>21</v>
      </c>
      <c r="M13" s="406"/>
      <c r="N13" s="407"/>
      <c r="O13" s="406" t="s">
        <v>22</v>
      </c>
      <c r="P13" s="406"/>
      <c r="Q13" s="407"/>
      <c r="R13" s="196" t="s">
        <v>23</v>
      </c>
      <c r="S13" s="196"/>
      <c r="T13" s="196"/>
    </row>
    <row r="14" spans="2:21" ht="15" customHeight="1" x14ac:dyDescent="0.25">
      <c r="B14" s="390" t="s">
        <v>24</v>
      </c>
      <c r="C14" s="391"/>
      <c r="D14" s="391"/>
      <c r="E14" s="391"/>
      <c r="F14" s="392"/>
      <c r="G14" s="200" t="s">
        <v>25</v>
      </c>
      <c r="H14" s="99">
        <v>0.25</v>
      </c>
      <c r="I14" s="100">
        <v>2.0833333333333332E-2</v>
      </c>
      <c r="J14" s="209"/>
      <c r="K14" s="101" t="s">
        <v>26</v>
      </c>
      <c r="L14" s="102">
        <f>Feiertage!N3*100%/40</f>
        <v>1</v>
      </c>
      <c r="M14" s="408" t="s">
        <v>27</v>
      </c>
      <c r="N14" s="159">
        <f ca="1">IF(TODAY()&lt; DATE($D$9,1,1),(L14*VLOOKUP(DATE($D$9,1,1),$C$20:$D$24,2))/100%,(L14*VLOOKUP(TODAY(),$C$20:$D$24,2))/100%)</f>
        <v>1.6666666666666665</v>
      </c>
      <c r="O14" s="149">
        <f>Feiertage!N8*100%/40</f>
        <v>-0.25</v>
      </c>
      <c r="P14" s="403" t="s">
        <v>27</v>
      </c>
      <c r="Q14" s="159">
        <f ca="1">IF(TODAY()&lt;DATE($D$9,1,1),(O14*VLOOKUP(DATE($D$9,1,1),$C$20:$D$24,2))/100%,(O14*VLOOKUP(TODAY(),$C$20:$D$24,2))/100%)</f>
        <v>-0.41666666666666663</v>
      </c>
      <c r="R14" s="196">
        <f ca="1">IF(OR(AND(J3&gt;0,J3&gt;N16),AND(J3&lt;0,J3&lt;Q16)),3,IF(OR(AND(J3&gt;=0,J3&lt;=N14),AND(J3&lt;=0,J3&gt;=Q14)),1,2))</f>
        <v>1</v>
      </c>
      <c r="S14" s="196"/>
      <c r="T14" s="196"/>
    </row>
    <row r="15" spans="2:21" ht="15.75" thickBot="1" x14ac:dyDescent="0.3">
      <c r="B15" s="379" t="str">
        <f>"für "&amp;D9&amp;":"</f>
        <v>für 2019:</v>
      </c>
      <c r="C15" s="380"/>
      <c r="D15" s="396"/>
      <c r="E15" s="396"/>
      <c r="F15" s="92" t="s">
        <v>28</v>
      </c>
      <c r="G15" s="200" t="s">
        <v>25</v>
      </c>
      <c r="H15" s="103">
        <v>0.375</v>
      </c>
      <c r="I15" s="104">
        <v>3.125E-2</v>
      </c>
      <c r="J15" s="209"/>
      <c r="K15" s="105" t="s">
        <v>29</v>
      </c>
      <c r="L15" s="106">
        <f>Feiertage!N5*100%/40</f>
        <v>1.25</v>
      </c>
      <c r="M15" s="408"/>
      <c r="N15" s="160">
        <f ca="1">IF(TODAY()&lt; DATE($D$9,1,1),(L15*VLOOKUP(DATE($D$9,1,1),$C$20:$D$24,2))/100%,(L15*VLOOKUP(TODAY(),$C$20:$D$24,2))/100%)</f>
        <v>2.083333333333333</v>
      </c>
      <c r="O15" s="150">
        <f>Feiertage!N9*100%/40</f>
        <v>-0.5</v>
      </c>
      <c r="P15" s="403"/>
      <c r="Q15" s="160">
        <f ca="1">IF(TODAY()&lt;DATE($D$9,1,1),(O15*VLOOKUP(DATE($D$9,1,1),$C$20:$D$24,2))/100%,(O15*VLOOKUP(TODAY(),$C$20:$D$24,2))/100%)</f>
        <v>-0.83333333333333326</v>
      </c>
      <c r="R15" s="251"/>
      <c r="S15" s="196"/>
      <c r="T15" s="196"/>
    </row>
    <row r="16" spans="2:21" ht="15.75" thickBot="1" x14ac:dyDescent="0.3">
      <c r="B16" s="379" t="str">
        <f>"Übertrag von "&amp;D9-1&amp;":"</f>
        <v>Übertrag von 2018:</v>
      </c>
      <c r="C16" s="380"/>
      <c r="D16" s="396"/>
      <c r="E16" s="396"/>
      <c r="F16" s="92" t="s">
        <v>28</v>
      </c>
      <c r="G16" s="197"/>
      <c r="H16" s="201"/>
      <c r="I16" s="198"/>
      <c r="J16" s="209"/>
      <c r="K16" s="107" t="s">
        <v>30</v>
      </c>
      <c r="L16" s="108">
        <f>Feiertage!N5*100%/40</f>
        <v>1.25</v>
      </c>
      <c r="M16" s="409"/>
      <c r="N16" s="161">
        <f ca="1">IF(TODAY()&lt; DATE($D$9,1,1),(L16*VLOOKUP(DATE($D$9,1,1),$C$20:$D$24,2))/100%,(L16*VLOOKUP(TODAY(),$C$20:$D$24,2))/100%)</f>
        <v>2.083333333333333</v>
      </c>
      <c r="O16" s="151">
        <f>Feiertage!N9*100%/40</f>
        <v>-0.5</v>
      </c>
      <c r="P16" s="404"/>
      <c r="Q16" s="161">
        <f ca="1">IF(TODAY()&lt;DATE($D$9,1,1),(O16*VLOOKUP(DATE($D$9,1,1),$C$20:$D$24,2))/100%,(O16*VLOOKUP(TODAY(),$C$20:$D$24,2))/100%)</f>
        <v>-0.83333333333333326</v>
      </c>
      <c r="R16" s="251"/>
      <c r="S16" s="196"/>
      <c r="T16" s="196"/>
    </row>
    <row r="17" spans="1:21" ht="15.75" thickBot="1" x14ac:dyDescent="0.3">
      <c r="B17" s="381" t="str">
        <f>"Resturlaub für "&amp;D9&amp;":"</f>
        <v>Resturlaub für 2019:</v>
      </c>
      <c r="C17" s="382"/>
      <c r="D17" s="383">
        <f>RestUrlaub</f>
        <v>0</v>
      </c>
      <c r="E17" s="383"/>
      <c r="F17" s="109" t="s">
        <v>28</v>
      </c>
      <c r="G17" s="197"/>
      <c r="H17" s="198"/>
      <c r="I17" s="209"/>
      <c r="J17" s="209"/>
      <c r="K17" s="204"/>
      <c r="L17" s="204"/>
      <c r="M17" s="204"/>
      <c r="N17" s="204"/>
      <c r="O17" s="204"/>
      <c r="P17" s="197"/>
      <c r="Q17" s="197"/>
      <c r="R17" s="204"/>
      <c r="S17" s="196"/>
      <c r="T17" s="196"/>
    </row>
    <row r="18" spans="1:21" s="197" customFormat="1" ht="15.75" thickBot="1" x14ac:dyDescent="0.3">
      <c r="I18" s="204"/>
      <c r="J18" s="204"/>
      <c r="K18" s="204"/>
      <c r="L18" s="204"/>
      <c r="M18" s="204"/>
      <c r="N18" s="204"/>
      <c r="O18" s="204"/>
      <c r="R18" s="204"/>
      <c r="S18" s="196"/>
      <c r="T18" s="196"/>
      <c r="U18" s="199"/>
    </row>
    <row r="19" spans="1:21" ht="15.75" thickBot="1" x14ac:dyDescent="0.3">
      <c r="B19" s="377" t="s">
        <v>31</v>
      </c>
      <c r="C19" s="378"/>
      <c r="D19" s="113" t="s">
        <v>32</v>
      </c>
      <c r="E19" s="114" t="s">
        <v>33</v>
      </c>
      <c r="F19" s="114" t="s">
        <v>34</v>
      </c>
      <c r="G19" s="114" t="s">
        <v>35</v>
      </c>
      <c r="H19" s="114" t="s">
        <v>36</v>
      </c>
      <c r="I19" s="114" t="s">
        <v>37</v>
      </c>
      <c r="J19" s="115" t="s">
        <v>38</v>
      </c>
      <c r="K19" s="116" t="s">
        <v>39</v>
      </c>
      <c r="L19" s="204"/>
      <c r="M19" s="110" t="str">
        <f>CONCATENATE(K14," bis")</f>
        <v>Grünphase bis</v>
      </c>
      <c r="N19" s="111" t="str">
        <f>CONCATENATE(K15," bis")</f>
        <v>Gelbphase bis</v>
      </c>
      <c r="O19" s="112" t="str">
        <f>CONCATENATE(K16," ab")</f>
        <v>Rotphase ab</v>
      </c>
      <c r="P19" s="197"/>
      <c r="Q19" s="197"/>
      <c r="R19" s="196"/>
      <c r="S19" s="196"/>
      <c r="T19" s="196"/>
    </row>
    <row r="20" spans="1:21" x14ac:dyDescent="0.25">
      <c r="B20" s="120" t="s">
        <v>40</v>
      </c>
      <c r="C20" s="121">
        <f>DATEVALUE("01."&amp;"01."&amp;D9)</f>
        <v>42004</v>
      </c>
      <c r="D20" s="122">
        <f>SUM(E20:K20)</f>
        <v>1.6666666666666665</v>
      </c>
      <c r="E20" s="123">
        <v>0.33333333333333331</v>
      </c>
      <c r="F20" s="123">
        <v>0.33333333333333331</v>
      </c>
      <c r="G20" s="123">
        <v>0.33333333333333331</v>
      </c>
      <c r="H20" s="123">
        <v>0.33333333333333331</v>
      </c>
      <c r="I20" s="123">
        <v>0.33333333333333331</v>
      </c>
      <c r="J20" s="123">
        <v>0</v>
      </c>
      <c r="K20" s="124">
        <v>0</v>
      </c>
      <c r="L20" s="204"/>
      <c r="M20" s="117" t="str">
        <f>IF(ISBLANK(C20),"",((grün_plus*$D20/100%)*24)&amp;"h/ "&amp;(grün_minus*$D20/100%)*24&amp;"h")</f>
        <v>40h/ -10h</v>
      </c>
      <c r="N20" s="118" t="str">
        <f>IF(ISBLANK(C20),"",((gelb_plus*$D20/100%)*24)&amp;"h/ "&amp;(gelb_minus*$D20/100%)*24&amp;"h")</f>
        <v>50h/ -20h</v>
      </c>
      <c r="O20" s="119" t="str">
        <f>IF(ISBLANK(C20),"",((rot_plus*$D20/100%)*24)&amp;"h/ "&amp;(rot_minus*$D20/100%)*24&amp;"h")</f>
        <v>50h/ -20h</v>
      </c>
      <c r="P20" s="197"/>
      <c r="Q20" s="197"/>
    </row>
    <row r="21" spans="1:21" x14ac:dyDescent="0.25">
      <c r="B21" s="120" t="s">
        <v>41</v>
      </c>
      <c r="C21" s="125"/>
      <c r="D21" s="126" t="str">
        <f>IF(ISBLANK(C21),"",IF(C21&lt;=C20,"&lt;- da stimmt was nicht!",SUM(E21:K21)))</f>
        <v/>
      </c>
      <c r="E21" s="127"/>
      <c r="F21" s="128"/>
      <c r="G21" s="128"/>
      <c r="H21" s="128"/>
      <c r="I21" s="128"/>
      <c r="J21" s="128"/>
      <c r="K21" s="129"/>
      <c r="L21" s="204"/>
      <c r="M21" s="117" t="str">
        <f>IF(ISBLANK(C21),"",((grün_plus*$D21/100%)*24)&amp;"h/ "&amp;(grün_minus*$D21/100%)*24&amp;"h")</f>
        <v/>
      </c>
      <c r="N21" s="118" t="str">
        <f>IF(ISBLANK(C21),"",((gelb_plus*$D21/100%)*24)&amp;"h/ "&amp;(gelb_minus*$D21/100%)*24&amp;"h")</f>
        <v/>
      </c>
      <c r="O21" s="119" t="str">
        <f>IF(ISBLANK(C21),"",((rot_plus*$D21/100%)*24)&amp;"h/ "&amp;(rot_minus*$D21/100%)*24&amp;"h")</f>
        <v/>
      </c>
      <c r="P21" s="197"/>
      <c r="Q21" s="197"/>
    </row>
    <row r="22" spans="1:21" x14ac:dyDescent="0.25">
      <c r="B22" s="120" t="s">
        <v>42</v>
      </c>
      <c r="C22" s="125"/>
      <c r="D22" s="126" t="str">
        <f>IF(ISBLANK(C22),"",IF(C22&lt;=C21,"&lt;- da stimmt was nicht!",SUM(E22:K22)))</f>
        <v/>
      </c>
      <c r="E22" s="127"/>
      <c r="F22" s="128"/>
      <c r="G22" s="128"/>
      <c r="H22" s="128"/>
      <c r="I22" s="128"/>
      <c r="J22" s="128"/>
      <c r="K22" s="129"/>
      <c r="L22" s="204"/>
      <c r="M22" s="117" t="str">
        <f>IF(ISBLANK(C22),"",((grün_plus*$D22/100%)*24)&amp;"h/ "&amp;(grün_minus*$D22/100%)*24&amp;"h")</f>
        <v/>
      </c>
      <c r="N22" s="118" t="str">
        <f>IF(ISBLANK(C22),"",((gelb_plus*$D22/100%)*24)&amp;"h/ "&amp;(gelb_minus*$D22/100%)*24&amp;"h")</f>
        <v/>
      </c>
      <c r="O22" s="119" t="str">
        <f>IF(ISBLANK(C22),"",((rot_plus*$D22/100%)*24)&amp;"h/ "&amp;(rot_minus*$D22/100%)*24&amp;"h")</f>
        <v/>
      </c>
      <c r="P22" s="197"/>
      <c r="Q22" s="197"/>
    </row>
    <row r="23" spans="1:21" x14ac:dyDescent="0.25">
      <c r="B23" s="130" t="s">
        <v>43</v>
      </c>
      <c r="C23" s="125"/>
      <c r="D23" s="126" t="str">
        <f>IF(ISBLANK(C23),"",IF(C23&lt;=C22,"&lt;- da stimmt was nicht!",SUM(E23:K23)))</f>
        <v/>
      </c>
      <c r="E23" s="127"/>
      <c r="F23" s="128"/>
      <c r="G23" s="128"/>
      <c r="H23" s="128"/>
      <c r="I23" s="128"/>
      <c r="J23" s="128"/>
      <c r="K23" s="129"/>
      <c r="L23" s="204"/>
      <c r="M23" s="117" t="str">
        <f>IF(ISBLANK(C23),"",((grün_plus*$D23/100%)*24)&amp;"h/ "&amp;(grün_minus*$D23/100%)*24&amp;"h")</f>
        <v/>
      </c>
      <c r="N23" s="118" t="str">
        <f>IF(ISBLANK(C23),"",((gelb_plus*$D23/100%)*24)&amp;"h/ "&amp;(gelb_minus*$D23/100%)*24&amp;"h")</f>
        <v/>
      </c>
      <c r="O23" s="119" t="str">
        <f>IF(ISBLANK(C23),"",((rot_plus*$D23/100%)*24)&amp;"h/ "&amp;(rot_minus*$D23/100%)*24&amp;"h")</f>
        <v/>
      </c>
      <c r="P23" s="197"/>
      <c r="Q23" s="197"/>
    </row>
    <row r="24" spans="1:21" ht="15.75" thickBot="1" x14ac:dyDescent="0.3">
      <c r="B24" s="131" t="s">
        <v>44</v>
      </c>
      <c r="C24" s="132"/>
      <c r="D24" s="133" t="str">
        <f>IF(ISBLANK(C24),"",IF(C24&lt;=C23,"&lt;- da stimmt was nicht!",SUM(E24:K24)))</f>
        <v/>
      </c>
      <c r="E24" s="134"/>
      <c r="F24" s="135"/>
      <c r="G24" s="135"/>
      <c r="H24" s="135"/>
      <c r="I24" s="135"/>
      <c r="J24" s="135"/>
      <c r="K24" s="136"/>
      <c r="L24" s="204"/>
      <c r="M24" s="117" t="str">
        <f>IF(ISBLANK(C24),"",((grün_plus*$D24/100%)*24)&amp;"h/ "&amp;(grün_minus*$D24/100%)*24&amp;"h")</f>
        <v/>
      </c>
      <c r="N24" s="118" t="str">
        <f>IF(ISBLANK(C24),"",((gelb_plus*$D24/100%)*24)&amp;"h/ "&amp;(gelb_minus*$D24/100%)*24&amp;"h")</f>
        <v/>
      </c>
      <c r="O24" s="119" t="str">
        <f>IF(ISBLANK(C24),"",((rot_plus*$D24/100%)*24)&amp;"h/ "&amp;(rot_minus*$D24/100%)*24&amp;"h")</f>
        <v/>
      </c>
      <c r="P24" s="197"/>
      <c r="Q24" s="197"/>
    </row>
    <row r="25" spans="1:21" s="197" customFormat="1" ht="15.75" customHeight="1" thickBot="1" x14ac:dyDescent="0.3">
      <c r="B25" s="198"/>
      <c r="C25" s="198"/>
      <c r="E25" s="204"/>
      <c r="F25" s="204"/>
      <c r="G25" s="204"/>
      <c r="H25" s="365"/>
      <c r="I25" s="196"/>
      <c r="J25" s="196"/>
      <c r="K25" s="196"/>
      <c r="L25" s="204"/>
      <c r="M25" s="204"/>
      <c r="N25" s="204"/>
      <c r="O25" s="204"/>
      <c r="U25" s="199"/>
    </row>
    <row r="26" spans="1:21" ht="15.75" customHeight="1" x14ac:dyDescent="0.25">
      <c r="A26" s="196"/>
      <c r="B26" s="372" t="s">
        <v>45</v>
      </c>
      <c r="C26" s="373"/>
      <c r="D26" s="374"/>
      <c r="E26" s="210"/>
      <c r="F26" s="195"/>
      <c r="G26" s="196"/>
      <c r="H26" s="204"/>
      <c r="I26" s="196"/>
      <c r="J26" s="366">
        <f>MATCH("Arbeitszeit 1 ab",B:B,0)</f>
        <v>20</v>
      </c>
      <c r="K26" s="196"/>
      <c r="L26" s="204"/>
      <c r="M26" s="204"/>
      <c r="N26" s="204"/>
      <c r="O26" s="204"/>
      <c r="P26" s="196"/>
      <c r="Q26" s="197"/>
    </row>
    <row r="27" spans="1:21" ht="15.75" customHeight="1" x14ac:dyDescent="0.25">
      <c r="A27" s="196"/>
      <c r="B27" s="375" t="s">
        <v>46</v>
      </c>
      <c r="C27" s="376"/>
      <c r="D27" s="137" t="s">
        <v>47</v>
      </c>
      <c r="E27" s="250" t="s">
        <v>48</v>
      </c>
      <c r="F27" s="195"/>
      <c r="G27" s="196"/>
      <c r="H27" s="204"/>
      <c r="I27" s="196"/>
      <c r="J27" s="367">
        <v>1</v>
      </c>
      <c r="K27" s="196"/>
      <c r="L27" s="204"/>
      <c r="M27" s="204"/>
      <c r="N27" s="204"/>
      <c r="O27" s="204"/>
      <c r="P27" s="196"/>
      <c r="Q27" s="197"/>
    </row>
    <row r="28" spans="1:21" ht="15.75" customHeight="1" x14ac:dyDescent="0.25">
      <c r="A28" s="195" t="str">
        <f>D28</f>
        <v/>
      </c>
      <c r="B28" s="368"/>
      <c r="C28" s="369"/>
      <c r="D28" s="2" t="str">
        <f>""</f>
        <v/>
      </c>
      <c r="E28" s="250">
        <v>0</v>
      </c>
      <c r="F28" s="195">
        <v>0</v>
      </c>
      <c r="G28" s="196"/>
      <c r="H28" s="204"/>
      <c r="I28" s="196"/>
      <c r="J28" s="367" t="b">
        <v>0</v>
      </c>
      <c r="K28" s="196"/>
      <c r="L28" s="204"/>
      <c r="M28" s="204"/>
      <c r="N28" s="204"/>
      <c r="O28" s="204"/>
      <c r="P28" s="196"/>
      <c r="Q28" s="197"/>
    </row>
    <row r="29" spans="1:21" ht="15.75" customHeight="1" x14ac:dyDescent="0.25">
      <c r="A29" s="195" t="str">
        <f t="shared" ref="A29:A45" si="0">D29</f>
        <v>U</v>
      </c>
      <c r="B29" s="368" t="s">
        <v>49</v>
      </c>
      <c r="C29" s="369"/>
      <c r="D29" s="2" t="s">
        <v>50</v>
      </c>
      <c r="E29" s="250">
        <v>0</v>
      </c>
      <c r="F29" s="195">
        <v>0</v>
      </c>
      <c r="G29" s="196"/>
      <c r="H29" s="204"/>
      <c r="I29" s="196"/>
      <c r="J29" s="196"/>
      <c r="K29" s="196"/>
      <c r="L29" s="204"/>
      <c r="M29" s="204"/>
      <c r="N29" s="204"/>
      <c r="O29" s="204"/>
      <c r="P29" s="196"/>
      <c r="Q29" s="197"/>
    </row>
    <row r="30" spans="1:21" ht="15.75" customHeight="1" x14ac:dyDescent="0.25">
      <c r="A30" s="195" t="str">
        <f t="shared" si="0"/>
        <v>K</v>
      </c>
      <c r="B30" s="368" t="s">
        <v>51</v>
      </c>
      <c r="C30" s="369"/>
      <c r="D30" s="2" t="s">
        <v>52</v>
      </c>
      <c r="E30" s="250">
        <v>0</v>
      </c>
      <c r="F30" s="195">
        <v>0</v>
      </c>
      <c r="G30" s="196"/>
      <c r="H30" s="204"/>
      <c r="I30" s="204"/>
      <c r="J30" s="204"/>
      <c r="K30" s="204"/>
      <c r="L30" s="204"/>
      <c r="M30" s="204"/>
      <c r="N30" s="204"/>
      <c r="O30" s="204"/>
      <c r="P30" s="196"/>
      <c r="Q30" s="197"/>
    </row>
    <row r="31" spans="1:21" ht="15.75" customHeight="1" x14ac:dyDescent="0.25">
      <c r="A31" s="195" t="str">
        <f t="shared" si="0"/>
        <v>KuK</v>
      </c>
      <c r="B31" s="368" t="s">
        <v>53</v>
      </c>
      <c r="C31" s="369"/>
      <c r="D31" s="2" t="s">
        <v>54</v>
      </c>
      <c r="E31" s="250">
        <v>0</v>
      </c>
      <c r="F31" s="195">
        <v>0</v>
      </c>
      <c r="G31" s="196"/>
      <c r="H31" s="204"/>
      <c r="I31" s="204"/>
      <c r="J31" s="204"/>
      <c r="K31" s="204"/>
      <c r="L31" s="204"/>
      <c r="M31" s="204"/>
      <c r="N31" s="204"/>
      <c r="O31" s="204"/>
      <c r="P31" s="196"/>
      <c r="Q31" s="197"/>
    </row>
    <row r="32" spans="1:21" ht="15.75" customHeight="1" x14ac:dyDescent="0.25">
      <c r="A32" s="195" t="str">
        <f t="shared" si="0"/>
        <v>KK</v>
      </c>
      <c r="B32" s="368" t="s">
        <v>55</v>
      </c>
      <c r="C32" s="369"/>
      <c r="D32" s="2" t="s">
        <v>56</v>
      </c>
      <c r="E32" s="250">
        <v>0</v>
      </c>
      <c r="F32" s="195">
        <v>0</v>
      </c>
      <c r="G32" s="196"/>
      <c r="H32" s="204"/>
      <c r="I32" s="204"/>
      <c r="J32" s="204"/>
      <c r="K32" s="204"/>
      <c r="L32" s="204"/>
      <c r="M32" s="204"/>
      <c r="N32" s="204"/>
      <c r="O32" s="204"/>
      <c r="P32" s="196"/>
      <c r="Q32" s="197"/>
    </row>
    <row r="33" spans="1:21" ht="15.75" customHeight="1" x14ac:dyDescent="0.25">
      <c r="A33" s="195" t="str">
        <f t="shared" si="0"/>
        <v>DR</v>
      </c>
      <c r="B33" s="368" t="s">
        <v>57</v>
      </c>
      <c r="C33" s="369"/>
      <c r="D33" s="2" t="s">
        <v>58</v>
      </c>
      <c r="E33" s="250">
        <v>1</v>
      </c>
      <c r="F33" s="195">
        <v>2</v>
      </c>
      <c r="G33" s="196"/>
      <c r="H33" s="204"/>
      <c r="I33" s="204"/>
      <c r="J33" s="204"/>
      <c r="K33" s="204"/>
      <c r="L33" s="204"/>
      <c r="M33" s="204"/>
      <c r="N33" s="204"/>
      <c r="O33" s="204"/>
      <c r="P33" s="196"/>
      <c r="Q33" s="197"/>
    </row>
    <row r="34" spans="1:21" ht="15.75" customHeight="1" x14ac:dyDescent="0.25">
      <c r="A34" s="195" t="str">
        <f t="shared" si="0"/>
        <v>WB</v>
      </c>
      <c r="B34" s="388" t="s">
        <v>59</v>
      </c>
      <c r="C34" s="389"/>
      <c r="D34" s="2" t="s">
        <v>60</v>
      </c>
      <c r="E34" s="250">
        <v>1</v>
      </c>
      <c r="F34" s="195">
        <v>2</v>
      </c>
      <c r="G34" s="196"/>
      <c r="H34" s="204"/>
      <c r="I34" s="204"/>
      <c r="J34" s="204"/>
      <c r="K34" s="204"/>
      <c r="L34" s="204"/>
      <c r="M34" s="196"/>
      <c r="N34" s="196"/>
      <c r="O34" s="196"/>
      <c r="P34" s="196"/>
      <c r="Q34" s="197"/>
    </row>
    <row r="35" spans="1:21" ht="15.75" customHeight="1" x14ac:dyDescent="0.25">
      <c r="A35" s="195" t="str">
        <f t="shared" si="0"/>
        <v>mEG</v>
      </c>
      <c r="B35" s="368" t="s">
        <v>61</v>
      </c>
      <c r="C35" s="369"/>
      <c r="D35" s="2" t="s">
        <v>62</v>
      </c>
      <c r="E35" s="250">
        <v>0</v>
      </c>
      <c r="F35" s="195">
        <v>0</v>
      </c>
      <c r="G35" s="196"/>
      <c r="H35" s="204"/>
      <c r="I35" s="204"/>
      <c r="J35" s="204"/>
      <c r="K35" s="204"/>
      <c r="L35" s="204"/>
      <c r="M35" s="196"/>
      <c r="N35" s="196"/>
      <c r="O35" s="196"/>
      <c r="P35" s="196"/>
      <c r="Q35" s="197"/>
    </row>
    <row r="36" spans="1:21" ht="15.75" customHeight="1" x14ac:dyDescent="0.25">
      <c r="A36" s="195" t="str">
        <f t="shared" si="0"/>
        <v>FZA</v>
      </c>
      <c r="B36" s="386" t="s">
        <v>63</v>
      </c>
      <c r="C36" s="387"/>
      <c r="D36" s="2" t="s">
        <v>64</v>
      </c>
      <c r="E36" s="250">
        <v>1</v>
      </c>
      <c r="F36" s="195">
        <v>1</v>
      </c>
      <c r="G36" s="196"/>
      <c r="H36" s="204"/>
      <c r="I36" s="204"/>
      <c r="J36" s="204"/>
      <c r="K36" s="204"/>
      <c r="L36" s="204"/>
      <c r="M36" s="196"/>
      <c r="N36" s="196"/>
      <c r="O36" s="196"/>
      <c r="P36" s="196"/>
      <c r="Q36" s="197"/>
    </row>
    <row r="37" spans="1:21" ht="15.75" customHeight="1" x14ac:dyDescent="0.25">
      <c r="A37" s="195" t="str">
        <f t="shared" si="0"/>
        <v>Kur</v>
      </c>
      <c r="B37" s="368" t="s">
        <v>65</v>
      </c>
      <c r="C37" s="369"/>
      <c r="D37" s="2" t="s">
        <v>65</v>
      </c>
      <c r="E37" s="250">
        <v>0</v>
      </c>
      <c r="F37" s="195">
        <v>0</v>
      </c>
      <c r="G37" s="196"/>
      <c r="H37" s="204"/>
      <c r="I37" s="204"/>
      <c r="J37" s="204"/>
      <c r="K37" s="204"/>
      <c r="L37" s="204"/>
      <c r="M37" s="196"/>
      <c r="N37" s="196"/>
      <c r="O37" s="196"/>
      <c r="P37" s="196"/>
      <c r="Q37" s="197"/>
    </row>
    <row r="38" spans="1:21" ht="15.75" customHeight="1" x14ac:dyDescent="0.25">
      <c r="A38" s="195" t="str">
        <f t="shared" si="0"/>
        <v>G</v>
      </c>
      <c r="B38" s="386" t="s">
        <v>66</v>
      </c>
      <c r="C38" s="387"/>
      <c r="D38" s="2" t="s">
        <v>67</v>
      </c>
      <c r="E38" s="250">
        <v>1</v>
      </c>
      <c r="F38" s="195">
        <v>1</v>
      </c>
      <c r="G38" s="196"/>
      <c r="H38" s="204"/>
      <c r="I38" s="196"/>
      <c r="J38" s="196"/>
      <c r="K38" s="196"/>
      <c r="L38" s="196"/>
      <c r="M38" s="196"/>
      <c r="N38" s="196"/>
      <c r="O38" s="196"/>
      <c r="P38" s="196"/>
      <c r="Q38" s="197"/>
    </row>
    <row r="39" spans="1:21" ht="15.75" customHeight="1" x14ac:dyDescent="0.25">
      <c r="A39" s="195" t="str">
        <f t="shared" si="0"/>
        <v>SU</v>
      </c>
      <c r="B39" s="368" t="s">
        <v>68</v>
      </c>
      <c r="C39" s="369"/>
      <c r="D39" s="2" t="s">
        <v>69</v>
      </c>
      <c r="E39" s="250">
        <v>0</v>
      </c>
      <c r="F39" s="195">
        <v>0</v>
      </c>
      <c r="G39" s="196"/>
      <c r="H39" s="204"/>
      <c r="I39" s="196"/>
      <c r="J39" s="196"/>
      <c r="K39" s="196"/>
      <c r="L39" s="196"/>
      <c r="M39" s="196"/>
      <c r="N39" s="196"/>
      <c r="O39" s="196"/>
      <c r="P39" s="196"/>
      <c r="Q39" s="197"/>
    </row>
    <row r="40" spans="1:21" ht="15.75" customHeight="1" x14ac:dyDescent="0.25">
      <c r="A40" s="195" t="str">
        <f t="shared" si="0"/>
        <v>RU</v>
      </c>
      <c r="B40" s="368" t="s">
        <v>70</v>
      </c>
      <c r="C40" s="369"/>
      <c r="D40" s="2" t="s">
        <v>71</v>
      </c>
      <c r="E40" s="250">
        <v>1</v>
      </c>
      <c r="F40" s="195">
        <v>1</v>
      </c>
      <c r="G40" s="196"/>
      <c r="H40" s="204"/>
      <c r="I40" s="196"/>
      <c r="J40" s="196"/>
      <c r="K40" s="196"/>
      <c r="L40" s="196"/>
      <c r="M40" s="196"/>
      <c r="N40" s="196"/>
      <c r="O40" s="196"/>
      <c r="P40" s="196"/>
      <c r="Q40" s="197"/>
    </row>
    <row r="41" spans="1:21" ht="15.75" customHeight="1" x14ac:dyDescent="0.25">
      <c r="A41" s="195" t="str">
        <f t="shared" si="0"/>
        <v>Ü</v>
      </c>
      <c r="B41" s="368" t="s">
        <v>72</v>
      </c>
      <c r="C41" s="369"/>
      <c r="D41" s="2" t="s">
        <v>73</v>
      </c>
      <c r="E41" s="250">
        <v>1</v>
      </c>
      <c r="F41" s="195">
        <v>1</v>
      </c>
      <c r="G41" s="196"/>
      <c r="H41" s="204"/>
      <c r="I41" s="196"/>
      <c r="J41" s="196"/>
      <c r="K41" s="196"/>
      <c r="L41" s="196"/>
      <c r="M41" s="196"/>
      <c r="N41" s="196"/>
      <c r="O41" s="196"/>
      <c r="P41" s="196"/>
      <c r="Q41" s="197"/>
    </row>
    <row r="42" spans="1:21" ht="16.5" customHeight="1" x14ac:dyDescent="0.25">
      <c r="A42" s="195" t="str">
        <f t="shared" si="0"/>
        <v>§29(1)</v>
      </c>
      <c r="B42" s="368" t="s">
        <v>74</v>
      </c>
      <c r="C42" s="369"/>
      <c r="D42" s="2" t="s">
        <v>75</v>
      </c>
      <c r="E42" s="250">
        <v>0</v>
      </c>
      <c r="F42" s="195">
        <v>0</v>
      </c>
      <c r="G42" s="196"/>
      <c r="H42" s="204"/>
      <c r="I42" s="196"/>
      <c r="J42" s="196"/>
      <c r="K42" s="196"/>
      <c r="L42" s="196"/>
      <c r="M42" s="196"/>
      <c r="N42" s="196"/>
      <c r="O42" s="196"/>
      <c r="P42" s="196"/>
      <c r="Q42" s="197"/>
    </row>
    <row r="43" spans="1:21" ht="16.5" customHeight="1" x14ac:dyDescent="0.25">
      <c r="A43" s="195" t="str">
        <f t="shared" si="0"/>
        <v>§29(2)</v>
      </c>
      <c r="B43" s="368" t="s">
        <v>76</v>
      </c>
      <c r="C43" s="369"/>
      <c r="D43" s="2" t="s">
        <v>77</v>
      </c>
      <c r="E43" s="250">
        <v>1</v>
      </c>
      <c r="F43" s="195">
        <v>1</v>
      </c>
      <c r="G43" s="196"/>
      <c r="H43" s="204"/>
      <c r="I43" s="196"/>
      <c r="J43" s="196"/>
      <c r="K43" s="196"/>
      <c r="L43" s="196"/>
      <c r="M43" s="196"/>
      <c r="N43" s="196"/>
      <c r="O43" s="196"/>
      <c r="P43" s="196"/>
      <c r="Q43" s="197"/>
    </row>
    <row r="44" spans="1:21" ht="16.5" customHeight="1" x14ac:dyDescent="0.25">
      <c r="A44" s="195">
        <f t="shared" si="0"/>
        <v>0</v>
      </c>
      <c r="B44" s="368"/>
      <c r="C44" s="369"/>
      <c r="D44" s="2"/>
      <c r="E44" s="250">
        <v>1</v>
      </c>
      <c r="F44" s="195">
        <v>0</v>
      </c>
      <c r="G44" s="196"/>
      <c r="H44" s="204"/>
      <c r="I44" s="196"/>
      <c r="J44" s="196"/>
      <c r="K44" s="196"/>
      <c r="L44" s="196"/>
      <c r="M44" s="196"/>
      <c r="N44" s="196"/>
      <c r="O44" s="196"/>
      <c r="P44" s="196"/>
      <c r="Q44" s="197"/>
    </row>
    <row r="45" spans="1:21" ht="16.5" customHeight="1" thickBot="1" x14ac:dyDescent="0.3">
      <c r="A45" s="195" t="str">
        <f t="shared" si="0"/>
        <v>§29(4)</v>
      </c>
      <c r="B45" s="384" t="s">
        <v>78</v>
      </c>
      <c r="C45" s="385"/>
      <c r="D45" s="3" t="s">
        <v>79</v>
      </c>
      <c r="E45" s="250">
        <v>0</v>
      </c>
      <c r="F45" s="196">
        <v>0</v>
      </c>
      <c r="G45" s="196"/>
      <c r="H45" s="204"/>
      <c r="I45" s="196"/>
      <c r="J45" s="196"/>
      <c r="K45" s="196"/>
      <c r="L45" s="196"/>
      <c r="M45" s="196"/>
      <c r="N45" s="196"/>
      <c r="O45" s="196"/>
      <c r="P45" s="196"/>
      <c r="Q45" s="197"/>
    </row>
    <row r="46" spans="1:21" s="197" customFormat="1" x14ac:dyDescent="0.25">
      <c r="A46" s="196"/>
      <c r="E46" s="196"/>
      <c r="F46" s="196"/>
      <c r="G46" s="196"/>
      <c r="H46" s="204"/>
      <c r="U46" s="199"/>
    </row>
    <row r="47" spans="1:21" s="197" customFormat="1" x14ac:dyDescent="0.25">
      <c r="U47" s="199"/>
    </row>
    <row r="48" spans="1:21" s="197" customFormat="1" x14ac:dyDescent="0.25">
      <c r="U48" s="199"/>
    </row>
    <row r="49" spans="21:21" s="197" customFormat="1" x14ac:dyDescent="0.25">
      <c r="U49" s="199"/>
    </row>
    <row r="50" spans="21:21" s="197" customFormat="1" x14ac:dyDescent="0.25">
      <c r="U50" s="199"/>
    </row>
    <row r="51" spans="21:21" s="197" customFormat="1" x14ac:dyDescent="0.25">
      <c r="U51" s="199"/>
    </row>
    <row r="52" spans="21:21" s="197" customFormat="1" x14ac:dyDescent="0.25">
      <c r="U52" s="199"/>
    </row>
    <row r="53" spans="21:21" s="197" customFormat="1" x14ac:dyDescent="0.25">
      <c r="U53" s="199"/>
    </row>
    <row r="54" spans="21:21" s="197" customFormat="1" x14ac:dyDescent="0.25">
      <c r="U54" s="199"/>
    </row>
    <row r="55" spans="21:21" s="197" customFormat="1" x14ac:dyDescent="0.25">
      <c r="U55" s="199"/>
    </row>
    <row r="56" spans="21:21" s="197" customFormat="1" x14ac:dyDescent="0.25">
      <c r="U56" s="199"/>
    </row>
    <row r="57" spans="21:21" s="197" customFormat="1" x14ac:dyDescent="0.25">
      <c r="U57" s="199"/>
    </row>
    <row r="58" spans="21:21" s="197" customFormat="1" x14ac:dyDescent="0.25">
      <c r="U58" s="199"/>
    </row>
    <row r="59" spans="21:21" s="197" customFormat="1" x14ac:dyDescent="0.25">
      <c r="U59" s="199"/>
    </row>
    <row r="60" spans="21:21" s="197" customFormat="1" x14ac:dyDescent="0.25">
      <c r="U60" s="199"/>
    </row>
    <row r="61" spans="21:21" s="197" customFormat="1" x14ac:dyDescent="0.25">
      <c r="U61" s="199"/>
    </row>
    <row r="62" spans="21:21" s="197" customFormat="1" x14ac:dyDescent="0.25">
      <c r="U62" s="199"/>
    </row>
    <row r="63" spans="21:21" s="197" customFormat="1" x14ac:dyDescent="0.25">
      <c r="U63" s="199"/>
    </row>
    <row r="64" spans="21:21" s="197" customFormat="1" x14ac:dyDescent="0.25">
      <c r="U64" s="199"/>
    </row>
    <row r="65" spans="21:21" s="197" customFormat="1" x14ac:dyDescent="0.25">
      <c r="U65" s="199"/>
    </row>
    <row r="66" spans="21:21" s="197" customFormat="1" x14ac:dyDescent="0.25">
      <c r="U66" s="199"/>
    </row>
    <row r="67" spans="21:21" s="197" customFormat="1" x14ac:dyDescent="0.25">
      <c r="U67" s="199"/>
    </row>
    <row r="68" spans="21:21" s="197" customFormat="1" x14ac:dyDescent="0.25">
      <c r="U68" s="199"/>
    </row>
    <row r="69" spans="21:21" s="197" customFormat="1" x14ac:dyDescent="0.25">
      <c r="U69" s="199"/>
    </row>
    <row r="70" spans="21:21" s="197" customFormat="1" x14ac:dyDescent="0.25">
      <c r="U70" s="199"/>
    </row>
    <row r="71" spans="21:21" s="197" customFormat="1" x14ac:dyDescent="0.25">
      <c r="U71" s="199"/>
    </row>
    <row r="72" spans="21:21" s="197" customFormat="1" x14ac:dyDescent="0.25">
      <c r="U72" s="199"/>
    </row>
    <row r="73" spans="21:21" s="197" customFormat="1" x14ac:dyDescent="0.25">
      <c r="U73" s="199"/>
    </row>
    <row r="74" spans="21:21" s="197" customFormat="1" x14ac:dyDescent="0.25">
      <c r="U74" s="199"/>
    </row>
    <row r="75" spans="21:21" s="197" customFormat="1" x14ac:dyDescent="0.25">
      <c r="U75" s="199"/>
    </row>
    <row r="76" spans="21:21" s="197" customFormat="1" x14ac:dyDescent="0.25">
      <c r="U76" s="199"/>
    </row>
    <row r="77" spans="21:21" s="197" customFormat="1" x14ac:dyDescent="0.25">
      <c r="U77" s="199"/>
    </row>
    <row r="78" spans="21:21" s="197" customFormat="1" x14ac:dyDescent="0.25">
      <c r="U78" s="199"/>
    </row>
    <row r="79" spans="21:21" s="197" customFormat="1" x14ac:dyDescent="0.25">
      <c r="U79" s="199"/>
    </row>
    <row r="80" spans="21:21" s="197" customFormat="1" x14ac:dyDescent="0.25">
      <c r="U80" s="199"/>
    </row>
    <row r="81" spans="21:21" s="197" customFormat="1" x14ac:dyDescent="0.25">
      <c r="U81" s="199"/>
    </row>
    <row r="82" spans="21:21" s="197" customFormat="1" x14ac:dyDescent="0.25">
      <c r="U82" s="199"/>
    </row>
    <row r="83" spans="21:21" s="197" customFormat="1" x14ac:dyDescent="0.25">
      <c r="U83" s="199"/>
    </row>
    <row r="84" spans="21:21" s="197" customFormat="1" x14ac:dyDescent="0.25">
      <c r="U84" s="199"/>
    </row>
    <row r="85" spans="21:21" s="197" customFormat="1" x14ac:dyDescent="0.25">
      <c r="U85" s="199"/>
    </row>
    <row r="86" spans="21:21" s="197" customFormat="1" x14ac:dyDescent="0.25">
      <c r="U86" s="199"/>
    </row>
    <row r="87" spans="21:21" s="197" customFormat="1" x14ac:dyDescent="0.25">
      <c r="U87" s="199"/>
    </row>
    <row r="88" spans="21:21" s="197" customFormat="1" x14ac:dyDescent="0.25">
      <c r="U88" s="199"/>
    </row>
    <row r="89" spans="21:21" s="197" customFormat="1" x14ac:dyDescent="0.25">
      <c r="U89" s="199"/>
    </row>
    <row r="90" spans="21:21" s="197" customFormat="1" x14ac:dyDescent="0.25">
      <c r="U90" s="199"/>
    </row>
    <row r="91" spans="21:21" s="197" customFormat="1" x14ac:dyDescent="0.25">
      <c r="U91" s="199"/>
    </row>
    <row r="92" spans="21:21" s="197" customFormat="1" x14ac:dyDescent="0.25">
      <c r="U92" s="199"/>
    </row>
    <row r="93" spans="21:21" s="197" customFormat="1" x14ac:dyDescent="0.25">
      <c r="U93" s="199"/>
    </row>
    <row r="94" spans="21:21" s="197" customFormat="1" x14ac:dyDescent="0.25">
      <c r="U94" s="199"/>
    </row>
    <row r="95" spans="21:21" s="197" customFormat="1" x14ac:dyDescent="0.25">
      <c r="U95" s="199"/>
    </row>
    <row r="96" spans="21:21" s="197" customFormat="1" x14ac:dyDescent="0.25">
      <c r="U96" s="199"/>
    </row>
    <row r="97" spans="21:21" s="197" customFormat="1" x14ac:dyDescent="0.25">
      <c r="U97" s="199"/>
    </row>
    <row r="98" spans="21:21" s="197" customFormat="1" x14ac:dyDescent="0.25">
      <c r="U98" s="199"/>
    </row>
    <row r="99" spans="21:21" s="197" customFormat="1" x14ac:dyDescent="0.25">
      <c r="U99" s="199"/>
    </row>
    <row r="100" spans="21:21" s="197" customFormat="1" x14ac:dyDescent="0.25">
      <c r="U100" s="199"/>
    </row>
    <row r="101" spans="21:21" s="197" customFormat="1" x14ac:dyDescent="0.25">
      <c r="U101" s="199"/>
    </row>
    <row r="102" spans="21:21" s="197" customFormat="1" x14ac:dyDescent="0.25">
      <c r="U102" s="199"/>
    </row>
    <row r="103" spans="21:21" s="197" customFormat="1" x14ac:dyDescent="0.25">
      <c r="U103" s="199"/>
    </row>
    <row r="104" spans="21:21" s="197" customFormat="1" x14ac:dyDescent="0.25">
      <c r="U104" s="199"/>
    </row>
    <row r="105" spans="21:21" s="197" customFormat="1" x14ac:dyDescent="0.25">
      <c r="U105" s="199"/>
    </row>
    <row r="106" spans="21:21" s="197" customFormat="1" x14ac:dyDescent="0.25">
      <c r="U106" s="199"/>
    </row>
    <row r="107" spans="21:21" s="197" customFormat="1" x14ac:dyDescent="0.25">
      <c r="U107" s="199"/>
    </row>
    <row r="108" spans="21:21" s="197" customFormat="1" x14ac:dyDescent="0.25">
      <c r="U108" s="199"/>
    </row>
    <row r="109" spans="21:21" s="197" customFormat="1" x14ac:dyDescent="0.25">
      <c r="U109" s="199"/>
    </row>
    <row r="110" spans="21:21" s="197" customFormat="1" x14ac:dyDescent="0.25">
      <c r="U110" s="199"/>
    </row>
    <row r="111" spans="21:21" s="197" customFormat="1" x14ac:dyDescent="0.25">
      <c r="U111" s="199"/>
    </row>
    <row r="112" spans="21:21" s="197" customFormat="1" x14ac:dyDescent="0.25">
      <c r="U112" s="199"/>
    </row>
    <row r="113" spans="21:21" s="197" customFormat="1" x14ac:dyDescent="0.25">
      <c r="U113" s="199"/>
    </row>
    <row r="114" spans="21:21" s="197" customFormat="1" x14ac:dyDescent="0.25">
      <c r="U114" s="199"/>
    </row>
    <row r="115" spans="21:21" s="197" customFormat="1" x14ac:dyDescent="0.25">
      <c r="U115" s="199"/>
    </row>
    <row r="116" spans="21:21" s="197" customFormat="1" x14ac:dyDescent="0.25">
      <c r="U116" s="199"/>
    </row>
    <row r="117" spans="21:21" s="197" customFormat="1" x14ac:dyDescent="0.25">
      <c r="U117" s="199"/>
    </row>
    <row r="118" spans="21:21" s="197" customFormat="1" x14ac:dyDescent="0.25">
      <c r="U118" s="199"/>
    </row>
    <row r="119" spans="21:21" s="197" customFormat="1" x14ac:dyDescent="0.25">
      <c r="U119" s="199"/>
    </row>
    <row r="120" spans="21:21" s="197" customFormat="1" x14ac:dyDescent="0.25">
      <c r="U120" s="199"/>
    </row>
    <row r="121" spans="21:21" s="197" customFormat="1" x14ac:dyDescent="0.25">
      <c r="U121" s="199"/>
    </row>
    <row r="122" spans="21:21" s="197" customFormat="1" x14ac:dyDescent="0.25">
      <c r="U122" s="199"/>
    </row>
    <row r="123" spans="21:21" s="197" customFormat="1" x14ac:dyDescent="0.25">
      <c r="U123" s="199"/>
    </row>
    <row r="124" spans="21:21" s="197" customFormat="1" x14ac:dyDescent="0.25">
      <c r="U124" s="199"/>
    </row>
    <row r="125" spans="21:21" s="197" customFormat="1" x14ac:dyDescent="0.25">
      <c r="U125" s="199"/>
    </row>
    <row r="126" spans="21:21" s="197" customFormat="1" x14ac:dyDescent="0.25">
      <c r="U126" s="199"/>
    </row>
    <row r="127" spans="21:21" s="197" customFormat="1" x14ac:dyDescent="0.25">
      <c r="U127" s="199"/>
    </row>
    <row r="128" spans="21:21" s="197" customFormat="1" x14ac:dyDescent="0.25">
      <c r="U128" s="199"/>
    </row>
    <row r="129" spans="21:21" s="197" customFormat="1" x14ac:dyDescent="0.25">
      <c r="U129" s="199"/>
    </row>
    <row r="130" spans="21:21" s="197" customFormat="1" x14ac:dyDescent="0.25">
      <c r="U130" s="199"/>
    </row>
    <row r="131" spans="21:21" s="197" customFormat="1" x14ac:dyDescent="0.25">
      <c r="U131" s="199"/>
    </row>
    <row r="132" spans="21:21" s="197" customFormat="1" x14ac:dyDescent="0.25">
      <c r="U132" s="199"/>
    </row>
    <row r="133" spans="21:21" s="197" customFormat="1" x14ac:dyDescent="0.25">
      <c r="U133" s="199"/>
    </row>
    <row r="134" spans="21:21" s="197" customFormat="1" x14ac:dyDescent="0.25">
      <c r="U134" s="199"/>
    </row>
    <row r="135" spans="21:21" s="197" customFormat="1" x14ac:dyDescent="0.25">
      <c r="U135" s="199"/>
    </row>
    <row r="136" spans="21:21" s="197" customFormat="1" x14ac:dyDescent="0.25">
      <c r="U136" s="199"/>
    </row>
    <row r="137" spans="21:21" s="197" customFormat="1" x14ac:dyDescent="0.25">
      <c r="U137" s="199"/>
    </row>
    <row r="138" spans="21:21" s="197" customFormat="1" x14ac:dyDescent="0.25">
      <c r="U138" s="199"/>
    </row>
    <row r="139" spans="21:21" s="197" customFormat="1" x14ac:dyDescent="0.25">
      <c r="U139" s="199"/>
    </row>
    <row r="140" spans="21:21" s="197" customFormat="1" x14ac:dyDescent="0.25">
      <c r="U140" s="199"/>
    </row>
    <row r="141" spans="21:21" s="197" customFormat="1" x14ac:dyDescent="0.25">
      <c r="U141" s="199"/>
    </row>
    <row r="142" spans="21:21" s="197" customFormat="1" x14ac:dyDescent="0.25">
      <c r="U142" s="199"/>
    </row>
    <row r="143" spans="21:21" s="197" customFormat="1" x14ac:dyDescent="0.25">
      <c r="U143" s="199"/>
    </row>
    <row r="144" spans="21:21" s="197" customFormat="1" x14ac:dyDescent="0.25">
      <c r="U144" s="199"/>
    </row>
    <row r="145" spans="21:21" s="197" customFormat="1" x14ac:dyDescent="0.25">
      <c r="U145" s="199"/>
    </row>
    <row r="146" spans="21:21" s="197" customFormat="1" x14ac:dyDescent="0.25">
      <c r="U146" s="199"/>
    </row>
    <row r="147" spans="21:21" s="197" customFormat="1" x14ac:dyDescent="0.25">
      <c r="U147" s="199"/>
    </row>
    <row r="148" spans="21:21" s="197" customFormat="1" x14ac:dyDescent="0.25">
      <c r="U148" s="199"/>
    </row>
    <row r="149" spans="21:21" s="197" customFormat="1" x14ac:dyDescent="0.25">
      <c r="U149" s="199"/>
    </row>
    <row r="150" spans="21:21" s="197" customFormat="1" x14ac:dyDescent="0.25">
      <c r="U150" s="199"/>
    </row>
    <row r="151" spans="21:21" s="197" customFormat="1" x14ac:dyDescent="0.25">
      <c r="U151" s="199"/>
    </row>
    <row r="152" spans="21:21" s="197" customFormat="1" x14ac:dyDescent="0.25">
      <c r="U152" s="199"/>
    </row>
    <row r="153" spans="21:21" s="197" customFormat="1" x14ac:dyDescent="0.25">
      <c r="U153" s="199"/>
    </row>
    <row r="154" spans="21:21" s="197" customFormat="1" x14ac:dyDescent="0.25">
      <c r="U154" s="199"/>
    </row>
    <row r="155" spans="21:21" s="197" customFormat="1" x14ac:dyDescent="0.25">
      <c r="U155" s="199"/>
    </row>
    <row r="156" spans="21:21" s="197" customFormat="1" x14ac:dyDescent="0.25">
      <c r="U156" s="199"/>
    </row>
    <row r="157" spans="21:21" s="197" customFormat="1" x14ac:dyDescent="0.25">
      <c r="U157" s="199"/>
    </row>
    <row r="158" spans="21:21" s="197" customFormat="1" x14ac:dyDescent="0.25">
      <c r="U158" s="199"/>
    </row>
    <row r="159" spans="21:21" s="197" customFormat="1" x14ac:dyDescent="0.25">
      <c r="U159" s="199"/>
    </row>
    <row r="160" spans="21:21" s="197" customFormat="1" x14ac:dyDescent="0.25">
      <c r="U160" s="199"/>
    </row>
    <row r="161" spans="21:21" s="197" customFormat="1" x14ac:dyDescent="0.25">
      <c r="U161" s="199"/>
    </row>
    <row r="162" spans="21:21" s="197" customFormat="1" x14ac:dyDescent="0.25">
      <c r="U162" s="199"/>
    </row>
    <row r="163" spans="21:21" s="197" customFormat="1" x14ac:dyDescent="0.25">
      <c r="U163" s="199"/>
    </row>
    <row r="164" spans="21:21" s="197" customFormat="1" x14ac:dyDescent="0.25">
      <c r="U164" s="199"/>
    </row>
    <row r="165" spans="21:21" s="197" customFormat="1" x14ac:dyDescent="0.25">
      <c r="U165" s="199"/>
    </row>
    <row r="166" spans="21:21" s="197" customFormat="1" x14ac:dyDescent="0.25">
      <c r="U166" s="199"/>
    </row>
    <row r="167" spans="21:21" s="197" customFormat="1" x14ac:dyDescent="0.25">
      <c r="U167" s="199"/>
    </row>
    <row r="168" spans="21:21" s="197" customFormat="1" x14ac:dyDescent="0.25">
      <c r="U168" s="199"/>
    </row>
    <row r="169" spans="21:21" s="197" customFormat="1" x14ac:dyDescent="0.25">
      <c r="U169" s="199"/>
    </row>
    <row r="170" spans="21:21" s="197" customFormat="1" x14ac:dyDescent="0.25">
      <c r="U170" s="199"/>
    </row>
    <row r="171" spans="21:21" s="197" customFormat="1" x14ac:dyDescent="0.25">
      <c r="U171" s="199"/>
    </row>
    <row r="172" spans="21:21" s="197" customFormat="1" x14ac:dyDescent="0.25">
      <c r="U172" s="199"/>
    </row>
    <row r="173" spans="21:21" s="197" customFormat="1" x14ac:dyDescent="0.25">
      <c r="U173" s="199"/>
    </row>
    <row r="174" spans="21:21" s="197" customFormat="1" x14ac:dyDescent="0.25">
      <c r="U174" s="199"/>
    </row>
    <row r="175" spans="21:21" s="197" customFormat="1" x14ac:dyDescent="0.25">
      <c r="U175" s="199"/>
    </row>
    <row r="176" spans="21:21" s="197" customFormat="1" x14ac:dyDescent="0.25">
      <c r="U176" s="199"/>
    </row>
    <row r="177" spans="21:21" s="197" customFormat="1" x14ac:dyDescent="0.25">
      <c r="U177" s="199"/>
    </row>
    <row r="178" spans="21:21" s="197" customFormat="1" x14ac:dyDescent="0.25">
      <c r="U178" s="199"/>
    </row>
    <row r="179" spans="21:21" s="197" customFormat="1" x14ac:dyDescent="0.25">
      <c r="U179" s="199"/>
    </row>
    <row r="180" spans="21:21" s="197" customFormat="1" x14ac:dyDescent="0.25">
      <c r="U180" s="199"/>
    </row>
    <row r="181" spans="21:21" s="197" customFormat="1" x14ac:dyDescent="0.25">
      <c r="U181" s="199"/>
    </row>
    <row r="182" spans="21:21" s="197" customFormat="1" x14ac:dyDescent="0.25">
      <c r="U182" s="199"/>
    </row>
    <row r="183" spans="21:21" s="197" customFormat="1" x14ac:dyDescent="0.25">
      <c r="U183" s="199"/>
    </row>
    <row r="184" spans="21:21" s="197" customFormat="1" x14ac:dyDescent="0.25">
      <c r="U184" s="199"/>
    </row>
    <row r="185" spans="21:21" s="197" customFormat="1" x14ac:dyDescent="0.25">
      <c r="U185" s="199"/>
    </row>
    <row r="186" spans="21:21" s="197" customFormat="1" x14ac:dyDescent="0.25">
      <c r="U186" s="199"/>
    </row>
    <row r="187" spans="21:21" s="197" customFormat="1" x14ac:dyDescent="0.25">
      <c r="U187" s="199"/>
    </row>
    <row r="188" spans="21:21" s="197" customFormat="1" x14ac:dyDescent="0.25">
      <c r="U188" s="199"/>
    </row>
    <row r="189" spans="21:21" s="197" customFormat="1" x14ac:dyDescent="0.25">
      <c r="U189" s="199"/>
    </row>
    <row r="190" spans="21:21" s="197" customFormat="1" x14ac:dyDescent="0.25">
      <c r="U190" s="199"/>
    </row>
    <row r="191" spans="21:21" s="197" customFormat="1" x14ac:dyDescent="0.25">
      <c r="U191" s="199"/>
    </row>
    <row r="192" spans="21:21" s="197" customFormat="1" x14ac:dyDescent="0.25">
      <c r="U192" s="199"/>
    </row>
    <row r="193" spans="21:21" s="197" customFormat="1" x14ac:dyDescent="0.25">
      <c r="U193" s="199"/>
    </row>
    <row r="194" spans="21:21" s="197" customFormat="1" x14ac:dyDescent="0.25">
      <c r="U194" s="199"/>
    </row>
    <row r="195" spans="21:21" s="197" customFormat="1" x14ac:dyDescent="0.25">
      <c r="U195" s="199"/>
    </row>
    <row r="196" spans="21:21" s="197" customFormat="1" x14ac:dyDescent="0.25">
      <c r="U196" s="199"/>
    </row>
    <row r="197" spans="21:21" s="197" customFormat="1" x14ac:dyDescent="0.25">
      <c r="U197" s="199"/>
    </row>
    <row r="198" spans="21:21" s="197" customFormat="1" x14ac:dyDescent="0.25">
      <c r="U198" s="199"/>
    </row>
    <row r="199" spans="21:21" s="197" customFormat="1" x14ac:dyDescent="0.25">
      <c r="U199" s="199"/>
    </row>
    <row r="200" spans="21:21" s="197" customFormat="1" x14ac:dyDescent="0.25">
      <c r="U200" s="199"/>
    </row>
    <row r="201" spans="21:21" s="197" customFormat="1" x14ac:dyDescent="0.25">
      <c r="U201" s="199"/>
    </row>
    <row r="202" spans="21:21" s="197" customFormat="1" x14ac:dyDescent="0.25">
      <c r="U202" s="199"/>
    </row>
    <row r="203" spans="21:21" s="197" customFormat="1" x14ac:dyDescent="0.25">
      <c r="U203" s="199"/>
    </row>
    <row r="204" spans="21:21" s="197" customFormat="1" x14ac:dyDescent="0.25">
      <c r="U204" s="199"/>
    </row>
    <row r="205" spans="21:21" s="197" customFormat="1" x14ac:dyDescent="0.25">
      <c r="U205" s="199"/>
    </row>
    <row r="206" spans="21:21" s="197" customFormat="1" x14ac:dyDescent="0.25">
      <c r="U206" s="199"/>
    </row>
    <row r="207" spans="21:21" s="197" customFormat="1" x14ac:dyDescent="0.25">
      <c r="U207" s="199"/>
    </row>
    <row r="208" spans="21:21" s="197" customFormat="1" x14ac:dyDescent="0.25">
      <c r="U208" s="199"/>
    </row>
    <row r="209" spans="21:21" s="197" customFormat="1" x14ac:dyDescent="0.25">
      <c r="U209" s="199"/>
    </row>
    <row r="210" spans="21:21" s="197" customFormat="1" x14ac:dyDescent="0.25">
      <c r="U210" s="199"/>
    </row>
    <row r="211" spans="21:21" s="197" customFormat="1" x14ac:dyDescent="0.25">
      <c r="U211" s="199"/>
    </row>
    <row r="212" spans="21:21" s="197" customFormat="1" x14ac:dyDescent="0.25">
      <c r="U212" s="199"/>
    </row>
    <row r="213" spans="21:21" s="197" customFormat="1" x14ac:dyDescent="0.25">
      <c r="U213" s="199"/>
    </row>
    <row r="214" spans="21:21" s="197" customFormat="1" x14ac:dyDescent="0.25">
      <c r="U214" s="199"/>
    </row>
    <row r="215" spans="21:21" s="197" customFormat="1" x14ac:dyDescent="0.25">
      <c r="U215" s="199"/>
    </row>
    <row r="216" spans="21:21" s="197" customFormat="1" x14ac:dyDescent="0.25">
      <c r="U216" s="199"/>
    </row>
    <row r="217" spans="21:21" s="197" customFormat="1" x14ac:dyDescent="0.25">
      <c r="U217" s="199"/>
    </row>
    <row r="218" spans="21:21" s="197" customFormat="1" x14ac:dyDescent="0.25">
      <c r="U218" s="199"/>
    </row>
    <row r="219" spans="21:21" s="197" customFormat="1" x14ac:dyDescent="0.25">
      <c r="U219" s="199"/>
    </row>
    <row r="220" spans="21:21" s="197" customFormat="1" x14ac:dyDescent="0.25">
      <c r="U220" s="199"/>
    </row>
    <row r="221" spans="21:21" s="197" customFormat="1" x14ac:dyDescent="0.25">
      <c r="U221" s="199"/>
    </row>
    <row r="222" spans="21:21" s="197" customFormat="1" x14ac:dyDescent="0.25">
      <c r="U222" s="199"/>
    </row>
    <row r="223" spans="21:21" s="197" customFormat="1" x14ac:dyDescent="0.25">
      <c r="U223" s="199"/>
    </row>
    <row r="224" spans="21:21" s="197" customFormat="1" x14ac:dyDescent="0.25">
      <c r="U224" s="199"/>
    </row>
    <row r="225" spans="21:21" s="197" customFormat="1" x14ac:dyDescent="0.25">
      <c r="U225" s="199"/>
    </row>
    <row r="226" spans="21:21" s="197" customFormat="1" x14ac:dyDescent="0.25">
      <c r="U226" s="199"/>
    </row>
    <row r="227" spans="21:21" s="197" customFormat="1" x14ac:dyDescent="0.25">
      <c r="U227" s="199"/>
    </row>
    <row r="228" spans="21:21" s="197" customFormat="1" x14ac:dyDescent="0.25">
      <c r="U228" s="199"/>
    </row>
    <row r="229" spans="21:21" s="197" customFormat="1" x14ac:dyDescent="0.25">
      <c r="U229" s="199"/>
    </row>
    <row r="230" spans="21:21" s="197" customFormat="1" x14ac:dyDescent="0.25">
      <c r="U230" s="199"/>
    </row>
    <row r="231" spans="21:21" s="197" customFormat="1" x14ac:dyDescent="0.25">
      <c r="U231" s="199"/>
    </row>
    <row r="232" spans="21:21" s="197" customFormat="1" x14ac:dyDescent="0.25">
      <c r="U232" s="199"/>
    </row>
    <row r="233" spans="21:21" s="197" customFormat="1" x14ac:dyDescent="0.25">
      <c r="U233" s="199"/>
    </row>
  </sheetData>
  <sheetProtection password="D3C6" sheet="1" formatCells="0" selectLockedCells="1"/>
  <mergeCells count="79">
    <mergeCell ref="P3:P4"/>
    <mergeCell ref="Q3:Q4"/>
    <mergeCell ref="H2:Q2"/>
    <mergeCell ref="L5:M5"/>
    <mergeCell ref="H8:I8"/>
    <mergeCell ref="J4:K4"/>
    <mergeCell ref="J5:K5"/>
    <mergeCell ref="H3:I3"/>
    <mergeCell ref="H4:I4"/>
    <mergeCell ref="H5:I5"/>
    <mergeCell ref="L4:M4"/>
    <mergeCell ref="N4:O4"/>
    <mergeCell ref="L3:M3"/>
    <mergeCell ref="N3:O3"/>
    <mergeCell ref="N5:O5"/>
    <mergeCell ref="H9:I9"/>
    <mergeCell ref="J8:K8"/>
    <mergeCell ref="H13:I13"/>
    <mergeCell ref="J9:K9"/>
    <mergeCell ref="N6:O6"/>
    <mergeCell ref="N7:O7"/>
    <mergeCell ref="L8:M9"/>
    <mergeCell ref="N8:O9"/>
    <mergeCell ref="L6:M6"/>
    <mergeCell ref="J6:K6"/>
    <mergeCell ref="J7:K7"/>
    <mergeCell ref="H6:I6"/>
    <mergeCell ref="L7:M7"/>
    <mergeCell ref="H7:I7"/>
    <mergeCell ref="P14:P16"/>
    <mergeCell ref="B14:F14"/>
    <mergeCell ref="D15:E15"/>
    <mergeCell ref="D16:E16"/>
    <mergeCell ref="L13:N13"/>
    <mergeCell ref="O13:Q13"/>
    <mergeCell ref="D13:E13"/>
    <mergeCell ref="M14:M16"/>
    <mergeCell ref="B9:C9"/>
    <mergeCell ref="D9:E9"/>
    <mergeCell ref="D10:E10"/>
    <mergeCell ref="D11:E11"/>
    <mergeCell ref="D12:E12"/>
    <mergeCell ref="B10:C10"/>
    <mergeCell ref="B3:C3"/>
    <mergeCell ref="B4:C4"/>
    <mergeCell ref="B5:C5"/>
    <mergeCell ref="B8:F8"/>
    <mergeCell ref="B2:F2"/>
    <mergeCell ref="D3:E3"/>
    <mergeCell ref="D4:E4"/>
    <mergeCell ref="D5:E5"/>
    <mergeCell ref="D7:E7"/>
    <mergeCell ref="B45:C45"/>
    <mergeCell ref="B39:C39"/>
    <mergeCell ref="B32:C32"/>
    <mergeCell ref="B31:C31"/>
    <mergeCell ref="B33:C33"/>
    <mergeCell ref="B44:C44"/>
    <mergeCell ref="B43:C43"/>
    <mergeCell ref="B42:C42"/>
    <mergeCell ref="B41:C41"/>
    <mergeCell ref="B38:C38"/>
    <mergeCell ref="B36:C36"/>
    <mergeCell ref="B35:C35"/>
    <mergeCell ref="B37:C37"/>
    <mergeCell ref="B40:C40"/>
    <mergeCell ref="B34:C34"/>
    <mergeCell ref="B30:C30"/>
    <mergeCell ref="B28:C28"/>
    <mergeCell ref="F11:F12"/>
    <mergeCell ref="B11:B12"/>
    <mergeCell ref="B26:D26"/>
    <mergeCell ref="B27:C27"/>
    <mergeCell ref="B19:C19"/>
    <mergeCell ref="B15:C15"/>
    <mergeCell ref="B16:C16"/>
    <mergeCell ref="B17:C17"/>
    <mergeCell ref="D17:E17"/>
    <mergeCell ref="B29:C29"/>
  </mergeCells>
  <conditionalFormatting sqref="J3:K3">
    <cfRule type="expression" dxfId="245" priority="2">
      <formula>$R$14=3</formula>
    </cfRule>
    <cfRule type="expression" dxfId="244" priority="3">
      <formula>$R$14=1</formula>
    </cfRule>
    <cfRule type="expression" dxfId="243" priority="4">
      <formula>$R$14=2</formula>
    </cfRule>
  </conditionalFormatting>
  <conditionalFormatting sqref="K3">
    <cfRule type="iconSet" priority="5">
      <iconSet iconSet="3Symbols" showValue="0" reverse="1">
        <cfvo type="percent" val="0"/>
        <cfvo type="num" val="1" gte="0"/>
        <cfvo type="num" val="2" gte="0"/>
      </iconSet>
    </cfRule>
  </conditionalFormatting>
  <conditionalFormatting sqref="D20:D24">
    <cfRule type="expression" dxfId="242" priority="1">
      <formula>IF(OR(D20="",ISNUMBER(D20)),FALSE,TRUE)</formula>
    </cfRule>
  </conditionalFormatting>
  <dataValidations count="7">
    <dataValidation type="custom" allowBlank="1" showInputMessage="1" showErrorMessage="1" error="Bitte nur Plus- oder Minus-Stunden eintragen!" sqref="D11:E11">
      <formula1>ISBLANK(D12)</formula1>
    </dataValidation>
    <dataValidation type="custom" allowBlank="1" showInputMessage="1" showErrorMessage="1" error="Bitte nur Plus- oder Minus-Stunden eintragen!" sqref="D12:E12">
      <formula1>ISBLANK(D11)</formula1>
    </dataValidation>
    <dataValidation type="whole" errorStyle="warning" operator="greaterThan" allowBlank="1" showInputMessage="1" showErrorMessage="1" error="Bitte einen Jahr eingeben." sqref="D9:E9">
      <formula1>0</formula1>
    </dataValidation>
    <dataValidation type="whole" errorStyle="warning" operator="greaterThan" allowBlank="1" showInputMessage="1" showErrorMessage="1" error="Bitte Ihre Personalnummer eingeben." prompt="Bitte Ihre TUD- oder LSF-Personalnummer eingeben." sqref="D5:E5">
      <formula1>0</formula1>
    </dataValidation>
    <dataValidation type="date" errorStyle="warning" operator="greaterThan" allowBlank="1" showInputMessage="1" showErrorMessage="1" error="Bitte Ihr Geburtsdatum eintragen." sqref="D4:E4">
      <formula1>9497</formula1>
    </dataValidation>
    <dataValidation allowBlank="1" showInputMessage="1" showErrorMessage="1" prompt="Bitte hier Ihre Struktureinheit, Sachgebiet, Dezernat, Professur, Institut, Fakultät usw. eingeben wo Sie beschäftigt sind." sqref="D7:E7"/>
    <dataValidation type="date" allowBlank="1" showInputMessage="1" showErrorMessage="1" error="Bitte nur Datumswerte eingeben die größer als der 1.1. des Aufzeichnungsjahres und kleiner als der 1.1. des Folgejahres sind." sqref="C21:C24">
      <formula1>C20+1</formula1>
      <formula2>C20+366</formula2>
    </dataValidation>
  </dataValidations>
  <pageMargins left="0.7" right="0.7" top="0.78740157499999996" bottom="0.78740157499999996" header="0.3" footer="0.3"/>
  <pageSetup paperSize="9" scale="4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47"/>
  <sheetViews>
    <sheetView topLeftCell="A4" zoomScale="80" zoomScaleNormal="80" workbookViewId="0">
      <selection activeCell="G8" sqref="G8"/>
    </sheetView>
  </sheetViews>
  <sheetFormatPr baseColWidth="10" defaultColWidth="11.42578125" defaultRowHeight="15.75" x14ac:dyDescent="0.3"/>
  <cols>
    <col min="1" max="1" width="5.5703125" customWidth="1"/>
    <col min="2" max="2" width="12.7109375" bestFit="1" customWidth="1"/>
    <col min="3" max="4" width="0" hidden="1" customWidth="1"/>
    <col min="5" max="5" width="15.7109375" style="242" customWidth="1"/>
    <col min="6" max="6" width="6.28515625" customWidth="1"/>
    <col min="7" max="7" width="6" customWidth="1"/>
    <col min="8" max="9" width="11.5703125" bestFit="1" customWidth="1"/>
    <col min="10" max="10" width="0" hidden="1" customWidth="1"/>
    <col min="11" max="11" width="11.42578125" customWidth="1"/>
    <col min="12" max="12" width="0" hidden="1" customWidth="1"/>
    <col min="13" max="14" width="11.5703125" bestFit="1" customWidth="1"/>
    <col min="15" max="15" width="0" hidden="1" customWidth="1"/>
    <col min="17" max="19" width="0" hidden="1" customWidth="1"/>
    <col min="20" max="21" width="11.5703125" bestFit="1" customWidth="1"/>
    <col min="24" max="24" width="25.7109375" customWidth="1"/>
    <col min="25" max="46" width="11.5703125" hidden="1" customWidth="1"/>
    <col min="47" max="47" width="11.42578125" hidden="1" customWidth="1"/>
    <col min="49" max="49" width="13.7109375" customWidth="1"/>
    <col min="53" max="53" width="13" customWidth="1"/>
    <col min="54" max="54" width="18.140625" customWidth="1"/>
    <col min="55" max="57" width="11.5703125" hidden="1" customWidth="1"/>
    <col min="58" max="58" width="11.5703125" style="1" hidden="1" customWidth="1"/>
  </cols>
  <sheetData>
    <row r="1" spans="1:58" s="1" customFormat="1" thickBot="1" x14ac:dyDescent="0.35">
      <c r="A1" s="26"/>
      <c r="B1" s="47"/>
      <c r="C1" s="6"/>
      <c r="D1" s="6"/>
      <c r="E1" s="12"/>
      <c r="F1" s="66"/>
      <c r="G1" s="66"/>
      <c r="H1" s="26"/>
      <c r="I1" s="26"/>
      <c r="J1" s="6"/>
      <c r="K1" s="26"/>
      <c r="L1" s="6"/>
      <c r="M1" s="26"/>
      <c r="N1" s="26"/>
      <c r="O1" s="6"/>
      <c r="P1" s="26"/>
      <c r="Q1" s="6" t="s">
        <v>123</v>
      </c>
      <c r="R1" s="315" t="b">
        <v>0</v>
      </c>
      <c r="S1" s="6"/>
      <c r="T1" s="26"/>
      <c r="U1" s="26"/>
      <c r="V1" s="26"/>
      <c r="W1" s="26"/>
      <c r="X1" s="48"/>
      <c r="Y1" s="7"/>
      <c r="Z1" s="8"/>
      <c r="AA1" s="17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3"/>
      <c r="AO1" s="6"/>
      <c r="AP1" s="6"/>
      <c r="AQ1" s="6"/>
      <c r="AR1" s="6"/>
      <c r="AS1" s="6"/>
      <c r="AT1" s="14"/>
      <c r="AU1" s="14"/>
      <c r="AV1" s="26"/>
      <c r="AW1" s="26"/>
      <c r="AX1" s="26"/>
      <c r="AY1" s="26"/>
      <c r="AZ1" s="26"/>
      <c r="BA1" s="26"/>
      <c r="BC1" s="6"/>
      <c r="BD1" s="6"/>
      <c r="BE1" s="6"/>
    </row>
    <row r="2" spans="1:58" s="1" customFormat="1" ht="16.5" customHeight="1" x14ac:dyDescent="0.3">
      <c r="A2" s="26"/>
      <c r="B2" s="71" t="s">
        <v>1</v>
      </c>
      <c r="C2" s="222" t="str">
        <f>Name</f>
        <v>Max Mustermann</v>
      </c>
      <c r="D2" s="222"/>
      <c r="E2" s="466" t="str">
        <f>C2</f>
        <v>Max Mustermann</v>
      </c>
      <c r="F2" s="466"/>
      <c r="G2" s="466"/>
      <c r="H2" s="471" t="s">
        <v>7</v>
      </c>
      <c r="I2" s="471"/>
      <c r="J2" s="222"/>
      <c r="K2" s="69">
        <f>Personalnummer</f>
        <v>123456789</v>
      </c>
      <c r="L2" s="219"/>
      <c r="M2" s="26"/>
      <c r="N2" s="26"/>
      <c r="O2" s="219"/>
      <c r="P2" s="26"/>
      <c r="Q2" s="219"/>
      <c r="R2" s="219"/>
      <c r="S2" s="219"/>
      <c r="T2" s="26"/>
      <c r="U2" s="26"/>
      <c r="V2" s="26"/>
      <c r="W2" s="26"/>
      <c r="X2" s="48"/>
      <c r="Y2" s="221"/>
      <c r="Z2" s="295"/>
      <c r="AA2" s="296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474"/>
      <c r="AO2" s="474"/>
      <c r="AP2" s="474"/>
      <c r="AQ2" s="474"/>
      <c r="AR2" s="474"/>
      <c r="AS2" s="474"/>
      <c r="AT2" s="470" t="s">
        <v>124</v>
      </c>
      <c r="AU2" s="470"/>
      <c r="AV2" s="26"/>
      <c r="AW2" s="26"/>
      <c r="AX2" s="26"/>
      <c r="AY2" s="26"/>
      <c r="AZ2" s="26"/>
      <c r="BA2" s="26"/>
      <c r="BB2" s="29"/>
      <c r="BC2" s="219"/>
      <c r="BD2" s="219"/>
      <c r="BE2" s="219"/>
    </row>
    <row r="3" spans="1:58" s="1" customFormat="1" ht="16.5" customHeight="1" x14ac:dyDescent="0.3">
      <c r="A3" s="26"/>
      <c r="B3" s="72" t="s">
        <v>125</v>
      </c>
      <c r="C3" s="223">
        <f>Jahr</f>
        <v>42004</v>
      </c>
      <c r="D3" s="223"/>
      <c r="E3" s="468">
        <f>Jahr</f>
        <v>42004</v>
      </c>
      <c r="F3" s="468"/>
      <c r="G3" s="468"/>
      <c r="H3" s="472" t="s">
        <v>5</v>
      </c>
      <c r="I3" s="472"/>
      <c r="J3" s="224"/>
      <c r="K3" s="70">
        <f>Geburtstag</f>
        <v>16833</v>
      </c>
      <c r="L3" s="219"/>
      <c r="M3" s="26"/>
      <c r="N3" s="26"/>
      <c r="O3" s="219"/>
      <c r="P3" s="26"/>
      <c r="Q3" s="219"/>
      <c r="R3" s="219"/>
      <c r="S3" s="219"/>
      <c r="T3" s="26"/>
      <c r="U3" s="26"/>
      <c r="V3" s="26"/>
      <c r="W3" s="26"/>
      <c r="X3" s="48"/>
      <c r="Y3" s="221"/>
      <c r="Z3" s="295"/>
      <c r="AA3" s="475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474"/>
      <c r="AO3" s="474"/>
      <c r="AP3" s="474"/>
      <c r="AQ3" s="474"/>
      <c r="AR3" s="474"/>
      <c r="AS3" s="474"/>
      <c r="AT3" s="470"/>
      <c r="AU3" s="470"/>
      <c r="AV3" s="26"/>
      <c r="AW3" s="26"/>
      <c r="AX3" s="26"/>
      <c r="AY3" s="26"/>
      <c r="AZ3" s="26"/>
      <c r="BA3" s="26"/>
      <c r="BB3" s="29"/>
      <c r="BC3" s="219"/>
      <c r="BD3" s="219"/>
      <c r="BE3" s="219"/>
    </row>
    <row r="4" spans="1:58" s="1" customFormat="1" ht="16.5" customHeight="1" thickBot="1" x14ac:dyDescent="0.35">
      <c r="A4" s="26"/>
      <c r="B4" s="322" t="s">
        <v>126</v>
      </c>
      <c r="C4" s="323">
        <f>Jahr</f>
        <v>42004</v>
      </c>
      <c r="D4" s="323"/>
      <c r="E4" s="467">
        <f>B8</f>
        <v>42216</v>
      </c>
      <c r="F4" s="467"/>
      <c r="G4" s="467"/>
      <c r="H4" s="324"/>
      <c r="I4" s="324"/>
      <c r="J4" s="325"/>
      <c r="K4" s="326"/>
      <c r="L4" s="219"/>
      <c r="M4" s="26"/>
      <c r="N4" s="26"/>
      <c r="O4" s="219"/>
      <c r="P4" s="26"/>
      <c r="Q4" s="219"/>
      <c r="R4" s="219"/>
      <c r="S4" s="219"/>
      <c r="T4" s="26"/>
      <c r="U4" s="26"/>
      <c r="V4" s="26"/>
      <c r="W4" s="26"/>
      <c r="X4" s="48"/>
      <c r="Y4" s="221"/>
      <c r="Z4" s="295"/>
      <c r="AA4" s="475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474"/>
      <c r="AO4" s="474"/>
      <c r="AP4" s="474"/>
      <c r="AQ4" s="474"/>
      <c r="AR4" s="474"/>
      <c r="AS4" s="474"/>
      <c r="AT4" s="470"/>
      <c r="AU4" s="470"/>
      <c r="AV4" s="26"/>
      <c r="AW4" s="26"/>
      <c r="AX4" s="26"/>
      <c r="AY4" s="26"/>
      <c r="AZ4" s="26"/>
      <c r="BA4" s="26"/>
      <c r="BB4" s="29"/>
      <c r="BC4" s="219"/>
      <c r="BD4" s="219"/>
      <c r="BE4" s="219"/>
    </row>
    <row r="5" spans="1:58" s="1" customFormat="1" ht="15" x14ac:dyDescent="0.3">
      <c r="A5" s="26"/>
      <c r="B5" s="73"/>
      <c r="C5" s="225"/>
      <c r="D5" s="225"/>
      <c r="E5" s="67"/>
      <c r="F5" s="67"/>
      <c r="G5" s="67"/>
      <c r="H5" s="68"/>
      <c r="I5" s="68"/>
      <c r="J5" s="226"/>
      <c r="K5" s="68"/>
      <c r="L5" s="219"/>
      <c r="M5" s="26"/>
      <c r="N5" s="26"/>
      <c r="O5" s="219"/>
      <c r="P5" s="26"/>
      <c r="Q5" s="219"/>
      <c r="R5" s="219"/>
      <c r="S5" s="219"/>
      <c r="T5" s="26"/>
      <c r="U5" s="26"/>
      <c r="V5" s="26"/>
      <c r="W5" s="26"/>
      <c r="X5" s="48"/>
      <c r="Y5" s="221"/>
      <c r="Z5" s="295"/>
      <c r="AA5" s="475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73"/>
      <c r="AO5" s="273"/>
      <c r="AP5" s="273"/>
      <c r="AQ5" s="273"/>
      <c r="AR5" s="273"/>
      <c r="AS5" s="273"/>
      <c r="AT5" s="272"/>
      <c r="AU5" s="272"/>
      <c r="AV5" s="26"/>
      <c r="AW5" s="26"/>
      <c r="AX5" s="26"/>
      <c r="AY5" s="26"/>
      <c r="AZ5" s="26"/>
      <c r="BA5" s="26"/>
      <c r="BB5" s="29"/>
      <c r="BC5" s="219"/>
      <c r="BD5" s="219"/>
      <c r="BE5" s="219"/>
    </row>
    <row r="6" spans="1:58" s="1" customFormat="1" ht="27.6" customHeight="1" x14ac:dyDescent="0.3">
      <c r="A6" s="227"/>
      <c r="B6" s="86"/>
      <c r="C6" s="228" t="s">
        <v>127</v>
      </c>
      <c r="D6" s="228" t="s">
        <v>81</v>
      </c>
      <c r="E6" s="297"/>
      <c r="F6" s="465" t="s">
        <v>128</v>
      </c>
      <c r="G6" s="476" t="s">
        <v>129</v>
      </c>
      <c r="H6" s="462" t="s">
        <v>130</v>
      </c>
      <c r="I6" s="464"/>
      <c r="J6" s="464"/>
      <c r="K6" s="464"/>
      <c r="L6" s="464"/>
      <c r="M6" s="464"/>
      <c r="N6" s="464"/>
      <c r="O6" s="464"/>
      <c r="P6" s="464"/>
      <c r="Q6" s="228" t="s">
        <v>131</v>
      </c>
      <c r="R6" s="228">
        <v>0</v>
      </c>
      <c r="S6" s="228">
        <v>1</v>
      </c>
      <c r="T6" s="84"/>
      <c r="U6" s="84"/>
      <c r="V6" s="84"/>
      <c r="W6" s="85"/>
      <c r="X6" s="291"/>
      <c r="Y6" s="221"/>
      <c r="Z6" s="295"/>
      <c r="AA6" s="475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473" t="s">
        <v>82</v>
      </c>
      <c r="AO6" s="473"/>
      <c r="AP6" s="473"/>
      <c r="AQ6" s="473"/>
      <c r="AR6" s="473"/>
      <c r="AS6" s="473"/>
      <c r="AT6" s="469" t="s">
        <v>70</v>
      </c>
      <c r="AU6" s="469"/>
      <c r="AV6" s="462" t="s">
        <v>105</v>
      </c>
      <c r="AW6" s="463"/>
      <c r="AX6" s="462" t="s">
        <v>132</v>
      </c>
      <c r="AY6" s="464"/>
      <c r="AZ6" s="464"/>
      <c r="BA6" s="465"/>
      <c r="BB6" s="211" t="s">
        <v>133</v>
      </c>
      <c r="BC6" s="219" t="s">
        <v>134</v>
      </c>
      <c r="BD6" s="219"/>
      <c r="BE6" s="219"/>
    </row>
    <row r="7" spans="1:58" s="290" customFormat="1" ht="39" customHeight="1" x14ac:dyDescent="0.25">
      <c r="A7" s="279" t="s">
        <v>135</v>
      </c>
      <c r="B7" s="274" t="s">
        <v>80</v>
      </c>
      <c r="C7" s="281"/>
      <c r="D7" s="281"/>
      <c r="E7" s="241" t="s">
        <v>136</v>
      </c>
      <c r="F7" s="478"/>
      <c r="G7" s="477"/>
      <c r="H7" s="275" t="s">
        <v>137</v>
      </c>
      <c r="I7" s="276" t="s">
        <v>138</v>
      </c>
      <c r="J7" s="282" t="s">
        <v>139</v>
      </c>
      <c r="K7" s="277" t="s">
        <v>140</v>
      </c>
      <c r="L7" s="281" t="s">
        <v>141</v>
      </c>
      <c r="M7" s="275" t="s">
        <v>142</v>
      </c>
      <c r="N7" s="276" t="s">
        <v>143</v>
      </c>
      <c r="O7" s="282" t="s">
        <v>144</v>
      </c>
      <c r="P7" s="277" t="s">
        <v>145</v>
      </c>
      <c r="Q7" s="281" t="s">
        <v>146</v>
      </c>
      <c r="R7" s="281" t="s">
        <v>147</v>
      </c>
      <c r="S7" s="281" t="s">
        <v>148</v>
      </c>
      <c r="T7" s="211" t="s">
        <v>149</v>
      </c>
      <c r="U7" s="211" t="s">
        <v>150</v>
      </c>
      <c r="V7" s="275" t="s">
        <v>151</v>
      </c>
      <c r="W7" s="278" t="s">
        <v>152</v>
      </c>
      <c r="X7" s="278" t="s">
        <v>153</v>
      </c>
      <c r="Y7" s="283" t="s">
        <v>154</v>
      </c>
      <c r="Z7" s="284" t="s">
        <v>155</v>
      </c>
      <c r="AA7" s="285" t="s">
        <v>134</v>
      </c>
      <c r="AB7" s="286" t="s">
        <v>49</v>
      </c>
      <c r="AC7" s="286" t="s">
        <v>59</v>
      </c>
      <c r="AD7" s="286" t="s">
        <v>57</v>
      </c>
      <c r="AE7" s="286" t="s">
        <v>55</v>
      </c>
      <c r="AF7" s="286" t="s">
        <v>156</v>
      </c>
      <c r="AG7" s="286" t="s">
        <v>157</v>
      </c>
      <c r="AH7" s="286" t="s">
        <v>61</v>
      </c>
      <c r="AI7" s="286" t="s">
        <v>65</v>
      </c>
      <c r="AJ7" s="286" t="s">
        <v>74</v>
      </c>
      <c r="AK7" s="286" t="s">
        <v>76</v>
      </c>
      <c r="AL7" s="286" t="s">
        <v>158</v>
      </c>
      <c r="AM7" s="286" t="s">
        <v>78</v>
      </c>
      <c r="AN7" s="287" t="s">
        <v>159</v>
      </c>
      <c r="AO7" s="286" t="s">
        <v>160</v>
      </c>
      <c r="AP7" s="286" t="s">
        <v>81</v>
      </c>
      <c r="AQ7" s="286" t="s">
        <v>161</v>
      </c>
      <c r="AR7" s="286" t="s">
        <v>162</v>
      </c>
      <c r="AS7" s="286" t="s">
        <v>39</v>
      </c>
      <c r="AT7" s="288" t="s">
        <v>163</v>
      </c>
      <c r="AU7" s="288" t="s">
        <v>164</v>
      </c>
      <c r="AV7" s="279" t="s">
        <v>165</v>
      </c>
      <c r="AW7" s="280" t="s">
        <v>166</v>
      </c>
      <c r="AX7" s="279" t="s">
        <v>38</v>
      </c>
      <c r="AY7" s="241" t="s">
        <v>39</v>
      </c>
      <c r="AZ7" s="241" t="s">
        <v>81</v>
      </c>
      <c r="BA7" s="280" t="s">
        <v>167</v>
      </c>
      <c r="BB7" s="280" t="s">
        <v>167</v>
      </c>
      <c r="BC7" s="289" t="s">
        <v>165</v>
      </c>
      <c r="BD7" s="289" t="s">
        <v>168</v>
      </c>
      <c r="BE7" s="289" t="s">
        <v>169</v>
      </c>
      <c r="BF7" s="290" t="s">
        <v>170</v>
      </c>
    </row>
    <row r="8" spans="1:58" s="1" customFormat="1" ht="15" x14ac:dyDescent="0.3">
      <c r="A8" s="218">
        <f t="shared" ref="A8:A38" si="0">WEEKNUM(B8)</f>
        <v>31</v>
      </c>
      <c r="B8" s="47">
        <f>Jul!B38+1</f>
        <v>42216</v>
      </c>
      <c r="C8" s="219">
        <f t="shared" ref="C8:C38" si="1">NETWORKDAYS(B8,B8,Feiertage)</f>
        <v>1</v>
      </c>
      <c r="D8" s="220" t="str">
        <f t="shared" ref="D8:D38" si="2">IF(ISERROR(VLOOKUP(B8,Feiertage_ganz,4,FALSE)),"",(VLOOKUP(B8,Feiertage_ganz,4,FALSE)))</f>
        <v/>
      </c>
      <c r="E8" s="298" t="str">
        <f t="shared" ref="E8:E38" si="3">D8</f>
        <v/>
      </c>
      <c r="F8" s="87">
        <f t="shared" ref="F8:F38" si="4">B8</f>
        <v>42216</v>
      </c>
      <c r="G8" s="147"/>
      <c r="H8" s="214"/>
      <c r="I8" s="75"/>
      <c r="J8" s="221">
        <f t="shared" ref="J8:J38" si="5">I8-H8</f>
        <v>0</v>
      </c>
      <c r="K8" s="76"/>
      <c r="L8" s="221">
        <f>IF(J8-K8&gt;Pause_9,Pause_9p,IF(J8-K8&gt;Pause_6,Pause_6p,0))</f>
        <v>0</v>
      </c>
      <c r="M8" s="74"/>
      <c r="N8" s="75"/>
      <c r="O8" s="221">
        <f t="shared" ref="O8:O38" si="6">N8-M8</f>
        <v>0</v>
      </c>
      <c r="P8" s="76"/>
      <c r="Q8" s="221">
        <f>IF(O8-P8&gt;Pause_9,Pause_9p,IF(O8-P8&gt;Pause_6,Pause_6p,0))</f>
        <v>0</v>
      </c>
      <c r="R8" s="221">
        <f>IF(J8+O8-K8-P8&gt;Pause_9,Pause_9p,IF(J8+O8-K8-P8&gt;Pause_6,Pause_6p,0))</f>
        <v>0</v>
      </c>
      <c r="S8" s="221">
        <f t="shared" ref="S8:S38" si="7">IF(M8&gt;I8,IF(M8-I8+K8+P8&gt;=R8,K8+P8,R8),IF(K8+P8&gt;=R8,K8+P8,R8))</f>
        <v>0</v>
      </c>
      <c r="T8" s="79">
        <f t="shared" ref="T8:T38" si="8">IF(I8&lt;=M8,I8-H8+N8-M8,IF(I8&lt;=N8,N8-H8,I8-H8))</f>
        <v>0</v>
      </c>
      <c r="U8" s="79">
        <f>ROUND(T8-S8,10)</f>
        <v>0</v>
      </c>
      <c r="V8" s="80">
        <f t="shared" ref="V8:V38" ca="1" si="9">ROUND(IF(AND(D8&lt;&gt;"",G8=""),IF(ISERROR(VLOOKUP(B8,Feiertage,3,FALSE)),0,Z8),IF(B8="",0,IF(G8&lt;&gt;"",IF(UPPER(G8)=VLOOKUP(UPPER(G8),Code,1,FALSE),VLOOKUP(G8,Code,2,FALSE)*Z8,Z8),Z8))),10)</f>
        <v>0.33333333329999998</v>
      </c>
      <c r="W8" s="249" t="str">
        <f t="shared" ref="W8:W38" ca="1" si="10">IF(OR(AND(VLOOKUP(UPPER(G8),Code,3,FALSE)=2,U8&gt;V8),AND(I8&lt;&gt;0,B8&lt;&gt;"",G8=""),VLOOKUP(UPPER(G8),Code,3,FALSE)=1),U8-V8,"")</f>
        <v/>
      </c>
      <c r="X8" s="292"/>
      <c r="Y8" s="221">
        <f t="shared" ref="Y8:Y38" si="11">IF(G8&lt;&gt;"",IF(VLOOKUP(G8,Code,2,FALSE)=2,U8,IF(AND(VLOOKUP(G8,Code,2,FALSE)=1,U8&gt;Z8),U8,0)),0)</f>
        <v>0</v>
      </c>
      <c r="Z8" s="299">
        <f ca="1">IF(B8="","",INDIRECT(ADDRESS(MATCH(B8,Soll_AZ,1)+MATCH("Arbeitszeit 1 ab",Voreinstellung_Übersicht!B:B,0)-1,WEEKDAY(B8,2)+4,,,"Voreinstellung_Übersicht"),TRUE))</f>
        <v>0.33333333333333331</v>
      </c>
      <c r="AA8" s="300">
        <f ca="1">IF(W8="",Übertrag_Mehrarbeit,Übertrag_Mehrarbeit+W8)</f>
        <v>0</v>
      </c>
      <c r="AB8" s="219">
        <f t="shared" ref="AB8:AB38" si="12">IF(AND($G8&lt;&gt;0,IF(ISERROR(VLOOKUP($G8,Code,1,FALSE)),FALSE,VLOOKUP($G8,Code,1,FALSE)="U"),$C8=1),1,0)</f>
        <v>0</v>
      </c>
      <c r="AC8" s="219">
        <f t="shared" ref="AC8:AC38" si="13">IF(AND($G8&lt;&gt;0,IF(ISERROR(VLOOKUP($G8,Code,1,FALSE)),FALSE,VLOOKUP($G8,Code,1,FALSE))="WB"),1,0)</f>
        <v>0</v>
      </c>
      <c r="AD8" s="219">
        <f t="shared" ref="AD8:AD38" si="14">IF(AND($G8&lt;&gt;0,IF(ISERROR(VLOOKUP($G8,Code,1,FALSE)),FALSE,VLOOKUP($G8,Code,1,FALSE))="DR",$C8=1),1,0)</f>
        <v>0</v>
      </c>
      <c r="AE8" s="219">
        <f t="shared" ref="AE8:AE38" si="15">IF(AND($G8&lt;&gt;0,IF(ISERROR(VLOOKUP($G8,Code,1,FALSE)),FALSE,VLOOKUP($G8,Code,1,FALSE))="KK",$C8=1),1,0)</f>
        <v>0</v>
      </c>
      <c r="AF8" s="219">
        <f t="shared" ref="AF8:AF38" si="16">IF(AND($G8&lt;&gt;0,IF(ISERROR(VLOOKUP($G8,Code,1,FALSE)),FALSE,VLOOKUP($G8,Code,1,FALSE))="K",$C8=1),1,0)</f>
        <v>0</v>
      </c>
      <c r="AG8" s="219">
        <f t="shared" ref="AG8:AG38" si="17">IF(AND($G8&lt;&gt;0,IF(ISERROR(VLOOKUP($G8,Code,1,FALSE)),FALSE,VLOOKUP($G8,Code,1,FALSE))="KZT"),1,0)</f>
        <v>0</v>
      </c>
      <c r="AH8" s="219">
        <f t="shared" ref="AH8:AH38" si="18">IF(AND($G8&lt;&gt;0,IF(ISERROR(VLOOKUP($G8,Code,1,FALSE)),FALSE,VLOOKUP($G8,Code,1,FALSE))="mEG",$C8=1),1,0)</f>
        <v>0</v>
      </c>
      <c r="AI8" s="219">
        <f t="shared" ref="AI8:AI38" si="19">IF(AND($G8&lt;&gt;0,IF(ISERROR(VLOOKUP($G8,Code,1,FALSE)),FALSE,VLOOKUP($G8,Code,1,FALSE))="Ku"),1,0)</f>
        <v>0</v>
      </c>
      <c r="AJ8" s="219">
        <f t="shared" ref="AJ8:AJ38" si="20">IF(AND($G8&lt;&gt;0,IF(ISERROR(VLOOKUP($G8,Code,1,FALSE)),FALSE,VLOOKUP($G8,Code,1,FALSE))="§29(1)",$C8=1),1,0)</f>
        <v>0</v>
      </c>
      <c r="AK8" s="219">
        <f t="shared" ref="AK8:AK38" si="21">IF(AND($G8&lt;&gt;0,IF(ISERROR(VLOOKUP($G8,Code,1,FALSE)),FALSE,VLOOKUP($G8,Code,1,FALSE))="§29(2)",$C8=1),1,0)</f>
        <v>0</v>
      </c>
      <c r="AL8" s="219">
        <f t="shared" ref="AL8:AL38" si="22">IF(AND($G8&lt;&gt;0,IF(ISERROR(VLOOKUP($G8,Code,1,FALSE)),FALSE,VLOOKUP($G8,Code,1,FALSE))="§29(3)",$C8=1),1,0)</f>
        <v>0</v>
      </c>
      <c r="AM8" s="219">
        <f t="shared" ref="AM8:AM38" si="23">IF(AND($G8&lt;&gt;0,IF(ISERROR(VLOOKUP($G8,Code,1,FALSE)),FALSE,VLOOKUP($G8,Code,1,FALSE))="§29(4)",$C8=1),1,0)</f>
        <v>0</v>
      </c>
      <c r="AN8" s="301">
        <f t="shared" ref="AN8:AN38" si="24">IF(OR(AND(H8&lt;Nacht_6,I8-K8&lt;=Nacht_6),AND(I8&gt;Nacht_22,H8+K8&gt;=Nacht_22)),I8-H8-K8,IF(H8&lt;Nacht_6,IF(I8&gt;Nacht_22,Nacht_6-H8+I8-Nacht_22,Nacht_6-H8),IF(I8&gt;Nacht_22,I8-Nacht_22,0)))</f>
        <v>0</v>
      </c>
      <c r="AO8" s="301">
        <f t="shared" ref="AO8:AO38" si="25">IF(OR(AND(M8&lt;Nacht_6,N8-P8&lt;=Nacht_6),AND(N8&gt;Nacht_22,M8+P8&gt;=Nacht_22)),N8-M8-P8,IF(M8&lt;Nacht_6,IF(N8&gt;Nacht_22,Nacht_6-M8+N8-Nacht_22,Nacht_6-M8),IF(N8&gt;Nacht_22,N8-Nacht_22,0)))</f>
        <v>0</v>
      </c>
      <c r="AP8" s="301">
        <f t="shared" ref="AP8:AP38" si="26">IF(ISERROR(VLOOKUP(B8,Feiertage_ganz,3,FALSE)),0,IF(VLOOKUP(B8,Feiertage_ganz,3,FALSE)=1,U8,0))</f>
        <v>0</v>
      </c>
      <c r="AQ8" s="301">
        <f t="shared" ref="AQ8:AQ38" si="27">IF(OR(I8&lt;=Samstagszuschlag,H8&gt;=Nacht_22),0,IF(H8&lt;=Samstagszuschlag,IF(I8&lt;=Nacht_22,I8-Samstagszuschlag,Nacht_22-Samstagszuschlag),IF(I8&lt;=Nacht_22,I8-H8,Nacht_22-H8)))</f>
        <v>0</v>
      </c>
      <c r="AR8" s="301">
        <f t="shared" ref="AR8:AR38" si="28">IF(OR(N8&lt;=Samstagszuschlag,M8&lt;=Nacht_22),0,IF(M8&lt;=Samstagszuschlag,IF(N8&lt;=Nacht_22,N8-Samstagszuschlag,Nacht_22-Samstagszuschlag),IF(N8&lt;=Nacht_22,N8-M8,Nacht_22-M8)))</f>
        <v>0</v>
      </c>
      <c r="AS8" s="301">
        <f t="shared" ref="AS8:AS38" si="29">IF(WEEKDAY(B8,2)=7,U8,0)</f>
        <v>0</v>
      </c>
      <c r="AT8" s="302">
        <f t="shared" ref="AT8:AT38" si="30">IF(ISERROR(VLOOKUP(G8,Code_Liste,1,FALSE)),0,I8-H8)</f>
        <v>0</v>
      </c>
      <c r="AU8" s="302">
        <f t="shared" ref="AU8:AU38" si="31">IF(ISERROR(VLOOKUP(G8,Code_Liste,1,FALSE)),0,N8-M8)</f>
        <v>0</v>
      </c>
      <c r="AV8" s="81">
        <f t="shared" ref="AV8:AV38" si="32">SUM(AN8:AO8)</f>
        <v>0</v>
      </c>
      <c r="AW8" s="82">
        <f t="shared" ref="AW8:AW38" si="33">AV8*Zuschlag_Nacht/100</f>
        <v>0</v>
      </c>
      <c r="AX8" s="81">
        <f t="shared" ref="AX8:AX38" si="34">IF(WEEKDAY(B8,2)=6,AQ8+AR8,0)</f>
        <v>0</v>
      </c>
      <c r="AY8" s="83">
        <f t="shared" ref="AY8:AY38" si="35">AS8</f>
        <v>0</v>
      </c>
      <c r="AZ8" s="83">
        <f t="shared" ref="AZ8:AZ38" si="36">AP8</f>
        <v>0</v>
      </c>
      <c r="BA8" s="82">
        <f>IF(OR(B8=Feiertage!$A$16,B8=Feiertage!$A$19),U8*Zuschläge_24_31/100,IF(AZ8&gt;0,AZ8*Feiertag_mit/100,IF(AX8&gt;0,AX8*Zuschläge_Sa/100,IF(AY8&gt;0,AY8*Zuschlag_So/100,0))))</f>
        <v>0</v>
      </c>
      <c r="BB8" s="82">
        <f>IF(AND(B8&lt;&gt;0,G8=Voreinstellung_Übersicht!$D$41),IF(EG=1,W8*Über_klein/100,IF(EG=2,W8*Über_groß/100,"Fehler")),0)</f>
        <v>0</v>
      </c>
      <c r="BC8" s="299">
        <f ca="1">Jul!BC39</f>
        <v>0</v>
      </c>
      <c r="BD8" s="219">
        <f t="shared" ref="BD8:BD38" ca="1" si="37">IF(OR(AND(BC8&gt;=0,BC8&lt;=(grün_plus*BE8/100%)),AND(BC8&lt;=0,BC8&gt;=(grün_minus*BE8/100%))),1,IF(OR(AND(BC8&gt;0,BC8&lt;=(gelb_plus*BE8/100%)),AND(BC8&lt;0,BC8&gt;=(gelb_minus*BE8/100%))),2,3))</f>
        <v>1</v>
      </c>
      <c r="BE8" s="303">
        <f ca="1">IF(B8="","",INDIRECT(ADDRESS(MATCH(B8,Soll_AZ,1)+MATCH("Arbeitszeit 1 ab",Voreinstellung_Übersicht!B:B,0)-1,4,,,"Voreinstellung_Übersicht"),TRUE))</f>
        <v>1.6666666666666665</v>
      </c>
      <c r="BF8" s="1">
        <f>IF(OR(G8="WB",G8="DR",U8&gt;0),1,0)</f>
        <v>0</v>
      </c>
    </row>
    <row r="9" spans="1:58" s="1" customFormat="1" ht="15" x14ac:dyDescent="0.3">
      <c r="A9" s="218">
        <f t="shared" si="0"/>
        <v>31</v>
      </c>
      <c r="B9" s="47">
        <f t="shared" ref="B9:B38" si="38">B8+1</f>
        <v>42217</v>
      </c>
      <c r="C9" s="219">
        <f t="shared" si="1"/>
        <v>1</v>
      </c>
      <c r="D9" s="220" t="str">
        <f t="shared" si="2"/>
        <v/>
      </c>
      <c r="E9" s="298" t="str">
        <f t="shared" si="3"/>
        <v/>
      </c>
      <c r="F9" s="87">
        <f t="shared" si="4"/>
        <v>42217</v>
      </c>
      <c r="G9" s="147"/>
      <c r="H9" s="74"/>
      <c r="I9" s="75"/>
      <c r="J9" s="221">
        <f t="shared" si="5"/>
        <v>0</v>
      </c>
      <c r="K9" s="76"/>
      <c r="L9" s="221">
        <f>IF(J9-K9&gt;Pause_9,Pause_9p,IF(J9-K9&gt;Pause_6,Pause_6p,0))</f>
        <v>0</v>
      </c>
      <c r="M9" s="74"/>
      <c r="N9" s="75"/>
      <c r="O9" s="221">
        <f t="shared" si="6"/>
        <v>0</v>
      </c>
      <c r="P9" s="76"/>
      <c r="Q9" s="221">
        <f>IF(O9-P9&gt;Pause_9,Pause_9p,IF(O9-P9&gt;Pause_6,Pause_6p,0))</f>
        <v>0</v>
      </c>
      <c r="R9" s="221">
        <f>IF(J9+O9-K9-P9&gt;Pause_9,Pause_9p,IF(J9+O9-K9-P9&gt;Pause_6,Pause_6p,0))</f>
        <v>0</v>
      </c>
      <c r="S9" s="221">
        <f t="shared" si="7"/>
        <v>0</v>
      </c>
      <c r="T9" s="79">
        <f t="shared" si="8"/>
        <v>0</v>
      </c>
      <c r="U9" s="79">
        <f t="shared" ref="U9:U38" si="39">ROUND(T9-S9,10)</f>
        <v>0</v>
      </c>
      <c r="V9" s="80">
        <f t="shared" ca="1" si="9"/>
        <v>0.33333333329999998</v>
      </c>
      <c r="W9" s="249" t="str">
        <f t="shared" ca="1" si="10"/>
        <v/>
      </c>
      <c r="X9" s="293"/>
      <c r="Y9" s="221">
        <f t="shared" si="11"/>
        <v>0</v>
      </c>
      <c r="Z9" s="299">
        <f ca="1">IF(B9="","",INDIRECT(ADDRESS(MATCH(B9,Soll_AZ,1)+MATCH("Arbeitszeit 1 ab",Voreinstellung_Übersicht!B:B,0)-1,WEEKDAY(B9,2)+4,,,"Voreinstellung_Übersicht"),TRUE))</f>
        <v>0.33333333333333331</v>
      </c>
      <c r="AA9" s="300">
        <f t="shared" ref="AA9:AA38" ca="1" si="40">IF(W9="",AA8,AA8+W9)</f>
        <v>0</v>
      </c>
      <c r="AB9" s="219">
        <f t="shared" si="12"/>
        <v>0</v>
      </c>
      <c r="AC9" s="219">
        <f t="shared" si="13"/>
        <v>0</v>
      </c>
      <c r="AD9" s="219">
        <f t="shared" si="14"/>
        <v>0</v>
      </c>
      <c r="AE9" s="219">
        <f t="shared" si="15"/>
        <v>0</v>
      </c>
      <c r="AF9" s="219">
        <f t="shared" si="16"/>
        <v>0</v>
      </c>
      <c r="AG9" s="219">
        <f t="shared" si="17"/>
        <v>0</v>
      </c>
      <c r="AH9" s="219">
        <f t="shared" si="18"/>
        <v>0</v>
      </c>
      <c r="AI9" s="219">
        <f t="shared" si="19"/>
        <v>0</v>
      </c>
      <c r="AJ9" s="219">
        <f t="shared" si="20"/>
        <v>0</v>
      </c>
      <c r="AK9" s="219">
        <f t="shared" si="21"/>
        <v>0</v>
      </c>
      <c r="AL9" s="219">
        <f t="shared" si="22"/>
        <v>0</v>
      </c>
      <c r="AM9" s="219">
        <f t="shared" si="23"/>
        <v>0</v>
      </c>
      <c r="AN9" s="301">
        <f t="shared" si="24"/>
        <v>0</v>
      </c>
      <c r="AO9" s="301">
        <f t="shared" si="25"/>
        <v>0</v>
      </c>
      <c r="AP9" s="301">
        <f t="shared" si="26"/>
        <v>0</v>
      </c>
      <c r="AQ9" s="301">
        <f t="shared" si="27"/>
        <v>0</v>
      </c>
      <c r="AR9" s="301">
        <f t="shared" si="28"/>
        <v>0</v>
      </c>
      <c r="AS9" s="301">
        <f t="shared" si="29"/>
        <v>0</v>
      </c>
      <c r="AT9" s="302">
        <f t="shared" si="30"/>
        <v>0</v>
      </c>
      <c r="AU9" s="302">
        <f t="shared" si="31"/>
        <v>0</v>
      </c>
      <c r="AV9" s="81">
        <f t="shared" si="32"/>
        <v>0</v>
      </c>
      <c r="AW9" s="82">
        <f t="shared" si="33"/>
        <v>0</v>
      </c>
      <c r="AX9" s="81">
        <f t="shared" si="34"/>
        <v>0</v>
      </c>
      <c r="AY9" s="83">
        <f t="shared" si="35"/>
        <v>0</v>
      </c>
      <c r="AZ9" s="83">
        <f t="shared" si="36"/>
        <v>0</v>
      </c>
      <c r="BA9" s="82">
        <f>IF(OR(B9=Feiertage!$A$16,B9=Feiertage!$A$19),U9*Zuschläge_24_31/100,IF(AZ9&gt;0,AZ9*Feiertag_mit/100,IF(AX9&gt;0,AX9*Zuschläge_Sa/100,IF(AY9&gt;0,AY9*Zuschlag_So/100,0))))</f>
        <v>0</v>
      </c>
      <c r="BB9" s="82">
        <f>IF(AND(B9&lt;&gt;0,G9=Voreinstellung_Übersicht!$D$41),IF(EG=1,W9*Über_klein/100,IF(EG=2,W9*Über_groß/100,"Fehler")),0)</f>
        <v>0</v>
      </c>
      <c r="BC9" s="299">
        <f t="shared" ref="BC9:BC38" ca="1" si="41">IF(W9="",BC8,BC8+W9)</f>
        <v>0</v>
      </c>
      <c r="BD9" s="219">
        <f t="shared" ca="1" si="37"/>
        <v>1</v>
      </c>
      <c r="BE9" s="303">
        <f ca="1">IF(B9="","",INDIRECT(ADDRESS(MATCH(B9,Soll_AZ,1)+MATCH("Arbeitszeit 1 ab",Voreinstellung_Übersicht!B:B,0)-1,4,,,"Voreinstellung_Übersicht"),TRUE))</f>
        <v>1.6666666666666665</v>
      </c>
      <c r="BF9" s="1">
        <f t="shared" ref="BF9:BF38" si="42">IF(OR(G9="WB",G9="DR",U9&gt;0),1,0)</f>
        <v>0</v>
      </c>
    </row>
    <row r="10" spans="1:58" s="1" customFormat="1" ht="15" x14ac:dyDescent="0.3">
      <c r="A10" s="218">
        <f t="shared" si="0"/>
        <v>31</v>
      </c>
      <c r="B10" s="47">
        <f t="shared" si="38"/>
        <v>42218</v>
      </c>
      <c r="C10" s="219">
        <f t="shared" si="1"/>
        <v>0</v>
      </c>
      <c r="D10" s="220" t="str">
        <f t="shared" si="2"/>
        <v/>
      </c>
      <c r="E10" s="298" t="str">
        <f t="shared" si="3"/>
        <v/>
      </c>
      <c r="F10" s="87">
        <f t="shared" si="4"/>
        <v>42218</v>
      </c>
      <c r="G10" s="147"/>
      <c r="H10" s="74"/>
      <c r="I10" s="75"/>
      <c r="J10" s="221">
        <f t="shared" si="5"/>
        <v>0</v>
      </c>
      <c r="K10" s="76"/>
      <c r="L10" s="221">
        <f>IF(J10-K10&gt;=Pause_9,Pause_9p,IF(J10-K10&gt;=Pause_6,Pause_6p,0))</f>
        <v>0</v>
      </c>
      <c r="M10" s="74"/>
      <c r="N10" s="75"/>
      <c r="O10" s="221">
        <f t="shared" si="6"/>
        <v>0</v>
      </c>
      <c r="P10" s="76"/>
      <c r="Q10" s="221">
        <f>IF(O10-P10&gt;Pause_9,Pause_9p,IF(O10-P10&gt;Pause_6,Pause_6p,0))</f>
        <v>0</v>
      </c>
      <c r="R10" s="221">
        <f>IF(J10+O10-K10-P10&gt;Pause_9,Pause_9p,IF(J10+O10-K10-P10&gt;Pause_6,Pause_6p,0))</f>
        <v>0</v>
      </c>
      <c r="S10" s="221">
        <f t="shared" si="7"/>
        <v>0</v>
      </c>
      <c r="T10" s="79">
        <f t="shared" si="8"/>
        <v>0</v>
      </c>
      <c r="U10" s="79">
        <f t="shared" si="39"/>
        <v>0</v>
      </c>
      <c r="V10" s="80">
        <f t="shared" ca="1" si="9"/>
        <v>0</v>
      </c>
      <c r="W10" s="249" t="str">
        <f t="shared" ca="1" si="10"/>
        <v/>
      </c>
      <c r="X10" s="293"/>
      <c r="Y10" s="221">
        <f t="shared" si="11"/>
        <v>0</v>
      </c>
      <c r="Z10" s="299">
        <f ca="1">IF(B10="","",INDIRECT(ADDRESS(MATCH(B10,Soll_AZ,1)+MATCH("Arbeitszeit 1 ab",Voreinstellung_Übersicht!B:B,0)-1,WEEKDAY(B10,2)+4,,,"Voreinstellung_Übersicht"),TRUE))</f>
        <v>0</v>
      </c>
      <c r="AA10" s="300">
        <f t="shared" ca="1" si="40"/>
        <v>0</v>
      </c>
      <c r="AB10" s="219">
        <f t="shared" si="12"/>
        <v>0</v>
      </c>
      <c r="AC10" s="219">
        <f t="shared" si="13"/>
        <v>0</v>
      </c>
      <c r="AD10" s="219">
        <f t="shared" si="14"/>
        <v>0</v>
      </c>
      <c r="AE10" s="219">
        <f t="shared" si="15"/>
        <v>0</v>
      </c>
      <c r="AF10" s="219">
        <f t="shared" si="16"/>
        <v>0</v>
      </c>
      <c r="AG10" s="219">
        <f t="shared" si="17"/>
        <v>0</v>
      </c>
      <c r="AH10" s="219">
        <f t="shared" si="18"/>
        <v>0</v>
      </c>
      <c r="AI10" s="219">
        <f t="shared" si="19"/>
        <v>0</v>
      </c>
      <c r="AJ10" s="219">
        <f t="shared" si="20"/>
        <v>0</v>
      </c>
      <c r="AK10" s="219">
        <f t="shared" si="21"/>
        <v>0</v>
      </c>
      <c r="AL10" s="219">
        <f t="shared" si="22"/>
        <v>0</v>
      </c>
      <c r="AM10" s="219">
        <f t="shared" si="23"/>
        <v>0</v>
      </c>
      <c r="AN10" s="301">
        <f t="shared" si="24"/>
        <v>0</v>
      </c>
      <c r="AO10" s="301">
        <f t="shared" si="25"/>
        <v>0</v>
      </c>
      <c r="AP10" s="301">
        <f t="shared" si="26"/>
        <v>0</v>
      </c>
      <c r="AQ10" s="301">
        <f t="shared" si="27"/>
        <v>0</v>
      </c>
      <c r="AR10" s="301">
        <f t="shared" si="28"/>
        <v>0</v>
      </c>
      <c r="AS10" s="301">
        <f t="shared" si="29"/>
        <v>0</v>
      </c>
      <c r="AT10" s="302">
        <f t="shared" si="30"/>
        <v>0</v>
      </c>
      <c r="AU10" s="302">
        <f t="shared" si="31"/>
        <v>0</v>
      </c>
      <c r="AV10" s="81">
        <f t="shared" si="32"/>
        <v>0</v>
      </c>
      <c r="AW10" s="82">
        <f t="shared" si="33"/>
        <v>0</v>
      </c>
      <c r="AX10" s="81">
        <f t="shared" si="34"/>
        <v>0</v>
      </c>
      <c r="AY10" s="83">
        <f t="shared" si="35"/>
        <v>0</v>
      </c>
      <c r="AZ10" s="83">
        <f t="shared" si="36"/>
        <v>0</v>
      </c>
      <c r="BA10" s="82">
        <f>IF(OR(B10=Feiertage!$A$16,B10=Feiertage!$A$19),U10*Zuschläge_24_31/100,IF(AZ10&gt;0,AZ10*Feiertag_mit/100,IF(AX10&gt;0,AX10*Zuschläge_Sa/100,IF(AY10&gt;0,AY10*Zuschlag_So/100,0))))</f>
        <v>0</v>
      </c>
      <c r="BB10" s="82">
        <f>IF(AND(B10&lt;&gt;0,G10=Voreinstellung_Übersicht!$D$41),IF(EG=1,W10*Über_klein/100,IF(EG=2,W10*Über_groß/100,"Fehler")),0)</f>
        <v>0</v>
      </c>
      <c r="BC10" s="299">
        <f t="shared" ca="1" si="41"/>
        <v>0</v>
      </c>
      <c r="BD10" s="219">
        <f t="shared" ca="1" si="37"/>
        <v>1</v>
      </c>
      <c r="BE10" s="303">
        <f ca="1">IF(B10="","",INDIRECT(ADDRESS(MATCH(B10,Soll_AZ,1)+MATCH("Arbeitszeit 1 ab",Voreinstellung_Übersicht!B:B,0)-1,4,,,"Voreinstellung_Übersicht"),TRUE))</f>
        <v>1.6666666666666665</v>
      </c>
      <c r="BF10" s="1">
        <f t="shared" si="42"/>
        <v>0</v>
      </c>
    </row>
    <row r="11" spans="1:58" s="1" customFormat="1" ht="15" x14ac:dyDescent="0.3">
      <c r="A11" s="218">
        <f t="shared" si="0"/>
        <v>32</v>
      </c>
      <c r="B11" s="47">
        <f t="shared" si="38"/>
        <v>42219</v>
      </c>
      <c r="C11" s="219">
        <f t="shared" si="1"/>
        <v>0</v>
      </c>
      <c r="D11" s="220" t="str">
        <f t="shared" si="2"/>
        <v/>
      </c>
      <c r="E11" s="298" t="str">
        <f t="shared" si="3"/>
        <v/>
      </c>
      <c r="F11" s="87">
        <f t="shared" si="4"/>
        <v>42219</v>
      </c>
      <c r="G11" s="147"/>
      <c r="H11" s="74"/>
      <c r="I11" s="75"/>
      <c r="J11" s="221">
        <f t="shared" si="5"/>
        <v>0</v>
      </c>
      <c r="K11" s="76"/>
      <c r="L11" s="221">
        <f>IF(J11-K11&gt;=Pause_9,Pause_9p,IF(J11-K11&gt;=Pause_6,Pause_6p,0))</f>
        <v>0</v>
      </c>
      <c r="M11" s="74"/>
      <c r="N11" s="75"/>
      <c r="O11" s="221">
        <f t="shared" si="6"/>
        <v>0</v>
      </c>
      <c r="P11" s="76"/>
      <c r="Q11" s="221">
        <f>IF(O11-P11&gt;Pause_9,Pause_9p,IF(O11-P11&gt;Pause_6,Pause_6p,0))</f>
        <v>0</v>
      </c>
      <c r="R11" s="221">
        <f>IF(J11+O11-K11-P11&gt;Pause_9,Pause_9p,IF(J11+O11-K11-P11&gt;Pause_6,Pause_6p,0))</f>
        <v>0</v>
      </c>
      <c r="S11" s="221">
        <f t="shared" si="7"/>
        <v>0</v>
      </c>
      <c r="T11" s="79">
        <f t="shared" si="8"/>
        <v>0</v>
      </c>
      <c r="U11" s="79">
        <f t="shared" si="39"/>
        <v>0</v>
      </c>
      <c r="V11" s="80">
        <f t="shared" ca="1" si="9"/>
        <v>0</v>
      </c>
      <c r="W11" s="249" t="str">
        <f t="shared" ca="1" si="10"/>
        <v/>
      </c>
      <c r="X11" s="293"/>
      <c r="Y11" s="221">
        <f t="shared" si="11"/>
        <v>0</v>
      </c>
      <c r="Z11" s="299">
        <f ca="1">IF(B11="","",INDIRECT(ADDRESS(MATCH(B11,Soll_AZ,1)+MATCH("Arbeitszeit 1 ab",Voreinstellung_Übersicht!B:B,0)-1,WEEKDAY(B11,2)+4,,,"Voreinstellung_Übersicht"),TRUE))</f>
        <v>0</v>
      </c>
      <c r="AA11" s="300">
        <f t="shared" ca="1" si="40"/>
        <v>0</v>
      </c>
      <c r="AB11" s="219">
        <f t="shared" si="12"/>
        <v>0</v>
      </c>
      <c r="AC11" s="219">
        <f t="shared" si="13"/>
        <v>0</v>
      </c>
      <c r="AD11" s="219">
        <f t="shared" si="14"/>
        <v>0</v>
      </c>
      <c r="AE11" s="219">
        <f t="shared" si="15"/>
        <v>0</v>
      </c>
      <c r="AF11" s="219">
        <f t="shared" si="16"/>
        <v>0</v>
      </c>
      <c r="AG11" s="219">
        <f t="shared" si="17"/>
        <v>0</v>
      </c>
      <c r="AH11" s="219">
        <f t="shared" si="18"/>
        <v>0</v>
      </c>
      <c r="AI11" s="219">
        <f t="shared" si="19"/>
        <v>0</v>
      </c>
      <c r="AJ11" s="219">
        <f t="shared" si="20"/>
        <v>0</v>
      </c>
      <c r="AK11" s="219">
        <f t="shared" si="21"/>
        <v>0</v>
      </c>
      <c r="AL11" s="219">
        <f t="shared" si="22"/>
        <v>0</v>
      </c>
      <c r="AM11" s="219">
        <f t="shared" si="23"/>
        <v>0</v>
      </c>
      <c r="AN11" s="301">
        <f t="shared" si="24"/>
        <v>0</v>
      </c>
      <c r="AO11" s="301">
        <f t="shared" si="25"/>
        <v>0</v>
      </c>
      <c r="AP11" s="301">
        <f t="shared" si="26"/>
        <v>0</v>
      </c>
      <c r="AQ11" s="301">
        <f t="shared" si="27"/>
        <v>0</v>
      </c>
      <c r="AR11" s="301">
        <f t="shared" si="28"/>
        <v>0</v>
      </c>
      <c r="AS11" s="301">
        <f t="shared" si="29"/>
        <v>0</v>
      </c>
      <c r="AT11" s="302">
        <f t="shared" si="30"/>
        <v>0</v>
      </c>
      <c r="AU11" s="302">
        <f t="shared" si="31"/>
        <v>0</v>
      </c>
      <c r="AV11" s="81">
        <f t="shared" si="32"/>
        <v>0</v>
      </c>
      <c r="AW11" s="82">
        <f t="shared" si="33"/>
        <v>0</v>
      </c>
      <c r="AX11" s="81">
        <f t="shared" si="34"/>
        <v>0</v>
      </c>
      <c r="AY11" s="83">
        <f t="shared" si="35"/>
        <v>0</v>
      </c>
      <c r="AZ11" s="83">
        <f t="shared" si="36"/>
        <v>0</v>
      </c>
      <c r="BA11" s="82">
        <f>IF(OR(B11=Feiertage!$A$16,B11=Feiertage!$A$19),U11*Zuschläge_24_31/100,IF(AZ11&gt;0,AZ11*Feiertag_mit/100,IF(AX11&gt;0,AX11*Zuschläge_Sa/100,IF(AY11&gt;0,AY11*Zuschlag_So/100,0))))</f>
        <v>0</v>
      </c>
      <c r="BB11" s="82">
        <f>IF(AND(B11&lt;&gt;0,G11=Voreinstellung_Übersicht!$D$41),IF(EG=1,W11*Über_klein/100,IF(EG=2,W11*Über_groß/100,"Fehler")),0)</f>
        <v>0</v>
      </c>
      <c r="BC11" s="299">
        <f t="shared" ca="1" si="41"/>
        <v>0</v>
      </c>
      <c r="BD11" s="219">
        <f t="shared" ca="1" si="37"/>
        <v>1</v>
      </c>
      <c r="BE11" s="303">
        <f ca="1">IF(B11="","",INDIRECT(ADDRESS(MATCH(B11,Soll_AZ,1)+MATCH("Arbeitszeit 1 ab",Voreinstellung_Übersicht!B:B,0)-1,4,,,"Voreinstellung_Übersicht"),TRUE))</f>
        <v>1.6666666666666665</v>
      </c>
      <c r="BF11" s="1">
        <f t="shared" si="42"/>
        <v>0</v>
      </c>
    </row>
    <row r="12" spans="1:58" s="1" customFormat="1" ht="15" x14ac:dyDescent="0.3">
      <c r="A12" s="218">
        <f t="shared" si="0"/>
        <v>32</v>
      </c>
      <c r="B12" s="47">
        <f t="shared" si="38"/>
        <v>42220</v>
      </c>
      <c r="C12" s="219">
        <f t="shared" si="1"/>
        <v>1</v>
      </c>
      <c r="D12" s="220" t="str">
        <f t="shared" si="2"/>
        <v/>
      </c>
      <c r="E12" s="298" t="str">
        <f t="shared" si="3"/>
        <v/>
      </c>
      <c r="F12" s="87">
        <f t="shared" si="4"/>
        <v>42220</v>
      </c>
      <c r="G12" s="147"/>
      <c r="H12" s="74"/>
      <c r="I12" s="75"/>
      <c r="J12" s="221">
        <f t="shared" si="5"/>
        <v>0</v>
      </c>
      <c r="K12" s="76"/>
      <c r="L12" s="221">
        <f t="shared" ref="L12:L38" si="43">IF(J12&gt;=Pause_9,Pause_9p,IF(J12&gt;=Pause_6,Pause_6p,0))</f>
        <v>0</v>
      </c>
      <c r="M12" s="74"/>
      <c r="N12" s="75"/>
      <c r="O12" s="221">
        <f t="shared" si="6"/>
        <v>0</v>
      </c>
      <c r="P12" s="76"/>
      <c r="Q12" s="221">
        <f t="shared" ref="Q12:Q38" si="44">IF(O12&gt;Pause_9,Pause_9p,IF(O12&gt;=Pause_6,Pause_6p,0))</f>
        <v>0</v>
      </c>
      <c r="R12" s="221">
        <f t="shared" ref="R12:R38" si="45">IF(J12+O12&gt;=Pause_9,Pause_9p,IF(J12+O12&gt;=Pause_6,Pause_6p,0))</f>
        <v>0</v>
      </c>
      <c r="S12" s="221">
        <f t="shared" si="7"/>
        <v>0</v>
      </c>
      <c r="T12" s="79">
        <f t="shared" si="8"/>
        <v>0</v>
      </c>
      <c r="U12" s="79">
        <f t="shared" si="39"/>
        <v>0</v>
      </c>
      <c r="V12" s="80">
        <f t="shared" ca="1" si="9"/>
        <v>0.33333333329999998</v>
      </c>
      <c r="W12" s="249" t="str">
        <f t="shared" ca="1" si="10"/>
        <v/>
      </c>
      <c r="X12" s="293"/>
      <c r="Y12" s="221">
        <f t="shared" si="11"/>
        <v>0</v>
      </c>
      <c r="Z12" s="299">
        <f ca="1">IF(B12="","",INDIRECT(ADDRESS(MATCH(B12,Soll_AZ,1)+MATCH("Arbeitszeit 1 ab",Voreinstellung_Übersicht!B:B,0)-1,WEEKDAY(B12,2)+4,,,"Voreinstellung_Übersicht"),TRUE))</f>
        <v>0.33333333333333331</v>
      </c>
      <c r="AA12" s="300">
        <f t="shared" ca="1" si="40"/>
        <v>0</v>
      </c>
      <c r="AB12" s="219">
        <f t="shared" si="12"/>
        <v>0</v>
      </c>
      <c r="AC12" s="219">
        <f t="shared" si="13"/>
        <v>0</v>
      </c>
      <c r="AD12" s="219">
        <f t="shared" si="14"/>
        <v>0</v>
      </c>
      <c r="AE12" s="219">
        <f t="shared" si="15"/>
        <v>0</v>
      </c>
      <c r="AF12" s="219">
        <f t="shared" si="16"/>
        <v>0</v>
      </c>
      <c r="AG12" s="219">
        <f t="shared" si="17"/>
        <v>0</v>
      </c>
      <c r="AH12" s="219">
        <f t="shared" si="18"/>
        <v>0</v>
      </c>
      <c r="AI12" s="219">
        <f t="shared" si="19"/>
        <v>0</v>
      </c>
      <c r="AJ12" s="219">
        <f t="shared" si="20"/>
        <v>0</v>
      </c>
      <c r="AK12" s="219">
        <f t="shared" si="21"/>
        <v>0</v>
      </c>
      <c r="AL12" s="219">
        <f t="shared" si="22"/>
        <v>0</v>
      </c>
      <c r="AM12" s="219">
        <f t="shared" si="23"/>
        <v>0</v>
      </c>
      <c r="AN12" s="301">
        <f t="shared" si="24"/>
        <v>0</v>
      </c>
      <c r="AO12" s="301">
        <f t="shared" si="25"/>
        <v>0</v>
      </c>
      <c r="AP12" s="301">
        <f t="shared" si="26"/>
        <v>0</v>
      </c>
      <c r="AQ12" s="301">
        <f t="shared" si="27"/>
        <v>0</v>
      </c>
      <c r="AR12" s="301">
        <f t="shared" si="28"/>
        <v>0</v>
      </c>
      <c r="AS12" s="301">
        <f t="shared" si="29"/>
        <v>0</v>
      </c>
      <c r="AT12" s="302">
        <f t="shared" si="30"/>
        <v>0</v>
      </c>
      <c r="AU12" s="302">
        <f t="shared" si="31"/>
        <v>0</v>
      </c>
      <c r="AV12" s="81">
        <f t="shared" si="32"/>
        <v>0</v>
      </c>
      <c r="AW12" s="82">
        <f t="shared" si="33"/>
        <v>0</v>
      </c>
      <c r="AX12" s="81">
        <f t="shared" si="34"/>
        <v>0</v>
      </c>
      <c r="AY12" s="83">
        <f t="shared" si="35"/>
        <v>0</v>
      </c>
      <c r="AZ12" s="83">
        <f t="shared" si="36"/>
        <v>0</v>
      </c>
      <c r="BA12" s="82">
        <f>IF(OR(B12=Feiertage!$A$16,B12=Feiertage!$A$19),U12*Zuschläge_24_31/100,IF(AZ12&gt;0,AZ12*Feiertag_mit/100,IF(AX12&gt;0,AX12*Zuschläge_Sa/100,IF(AY12&gt;0,AY12*Zuschlag_So/100,0))))</f>
        <v>0</v>
      </c>
      <c r="BB12" s="82">
        <f>IF(AND(B12&lt;&gt;0,G12=Voreinstellung_Übersicht!$D$41),IF(EG=1,W12*Über_klein/100,IF(EG=2,W12*Über_groß/100,"Fehler")),0)</f>
        <v>0</v>
      </c>
      <c r="BC12" s="299">
        <f t="shared" ca="1" si="41"/>
        <v>0</v>
      </c>
      <c r="BD12" s="219">
        <f t="shared" ca="1" si="37"/>
        <v>1</v>
      </c>
      <c r="BE12" s="303">
        <f ca="1">IF(B12="","",INDIRECT(ADDRESS(MATCH(B12,Soll_AZ,1)+MATCH("Arbeitszeit 1 ab",Voreinstellung_Übersicht!B:B,0)-1,4,,,"Voreinstellung_Übersicht"),TRUE))</f>
        <v>1.6666666666666665</v>
      </c>
      <c r="BF12" s="1">
        <f t="shared" si="42"/>
        <v>0</v>
      </c>
    </row>
    <row r="13" spans="1:58" s="1" customFormat="1" ht="15" x14ac:dyDescent="0.3">
      <c r="A13" s="218">
        <f t="shared" si="0"/>
        <v>32</v>
      </c>
      <c r="B13" s="47">
        <f t="shared" si="38"/>
        <v>42221</v>
      </c>
      <c r="C13" s="219">
        <f t="shared" si="1"/>
        <v>1</v>
      </c>
      <c r="D13" s="220" t="str">
        <f t="shared" si="2"/>
        <v/>
      </c>
      <c r="E13" s="298" t="str">
        <f t="shared" si="3"/>
        <v/>
      </c>
      <c r="F13" s="87">
        <f t="shared" si="4"/>
        <v>42221</v>
      </c>
      <c r="G13" s="147"/>
      <c r="H13" s="74"/>
      <c r="I13" s="75"/>
      <c r="J13" s="221">
        <f t="shared" si="5"/>
        <v>0</v>
      </c>
      <c r="K13" s="76"/>
      <c r="L13" s="221">
        <f t="shared" si="43"/>
        <v>0</v>
      </c>
      <c r="M13" s="74"/>
      <c r="N13" s="75"/>
      <c r="O13" s="221">
        <f t="shared" si="6"/>
        <v>0</v>
      </c>
      <c r="P13" s="76"/>
      <c r="Q13" s="221">
        <f t="shared" si="44"/>
        <v>0</v>
      </c>
      <c r="R13" s="221">
        <f t="shared" si="45"/>
        <v>0</v>
      </c>
      <c r="S13" s="221">
        <f t="shared" si="7"/>
        <v>0</v>
      </c>
      <c r="T13" s="79">
        <f t="shared" si="8"/>
        <v>0</v>
      </c>
      <c r="U13" s="79">
        <f t="shared" si="39"/>
        <v>0</v>
      </c>
      <c r="V13" s="80">
        <f t="shared" ca="1" si="9"/>
        <v>0.33333333329999998</v>
      </c>
      <c r="W13" s="249" t="str">
        <f t="shared" ca="1" si="10"/>
        <v/>
      </c>
      <c r="X13" s="293"/>
      <c r="Y13" s="221">
        <f t="shared" si="11"/>
        <v>0</v>
      </c>
      <c r="Z13" s="299">
        <f ca="1">IF(B13="","",INDIRECT(ADDRESS(MATCH(B13,Soll_AZ,1)+MATCH("Arbeitszeit 1 ab",Voreinstellung_Übersicht!B:B,0)-1,WEEKDAY(B13,2)+4,,,"Voreinstellung_Übersicht"),TRUE))</f>
        <v>0.33333333333333331</v>
      </c>
      <c r="AA13" s="300">
        <f t="shared" ca="1" si="40"/>
        <v>0</v>
      </c>
      <c r="AB13" s="219">
        <f t="shared" si="12"/>
        <v>0</v>
      </c>
      <c r="AC13" s="219">
        <f t="shared" si="13"/>
        <v>0</v>
      </c>
      <c r="AD13" s="219">
        <f t="shared" si="14"/>
        <v>0</v>
      </c>
      <c r="AE13" s="219">
        <f t="shared" si="15"/>
        <v>0</v>
      </c>
      <c r="AF13" s="219">
        <f t="shared" si="16"/>
        <v>0</v>
      </c>
      <c r="AG13" s="219">
        <f t="shared" si="17"/>
        <v>0</v>
      </c>
      <c r="AH13" s="219">
        <f t="shared" si="18"/>
        <v>0</v>
      </c>
      <c r="AI13" s="219">
        <f t="shared" si="19"/>
        <v>0</v>
      </c>
      <c r="AJ13" s="219">
        <f t="shared" si="20"/>
        <v>0</v>
      </c>
      <c r="AK13" s="219">
        <f t="shared" si="21"/>
        <v>0</v>
      </c>
      <c r="AL13" s="219">
        <f t="shared" si="22"/>
        <v>0</v>
      </c>
      <c r="AM13" s="219">
        <f t="shared" si="23"/>
        <v>0</v>
      </c>
      <c r="AN13" s="301">
        <f t="shared" si="24"/>
        <v>0</v>
      </c>
      <c r="AO13" s="301">
        <f t="shared" si="25"/>
        <v>0</v>
      </c>
      <c r="AP13" s="301">
        <f t="shared" si="26"/>
        <v>0</v>
      </c>
      <c r="AQ13" s="301">
        <f t="shared" si="27"/>
        <v>0</v>
      </c>
      <c r="AR13" s="301">
        <f t="shared" si="28"/>
        <v>0</v>
      </c>
      <c r="AS13" s="301">
        <f t="shared" si="29"/>
        <v>0</v>
      </c>
      <c r="AT13" s="302">
        <f t="shared" si="30"/>
        <v>0</v>
      </c>
      <c r="AU13" s="302">
        <f t="shared" si="31"/>
        <v>0</v>
      </c>
      <c r="AV13" s="81">
        <f t="shared" si="32"/>
        <v>0</v>
      </c>
      <c r="AW13" s="82">
        <f t="shared" si="33"/>
        <v>0</v>
      </c>
      <c r="AX13" s="81">
        <f t="shared" si="34"/>
        <v>0</v>
      </c>
      <c r="AY13" s="83">
        <f t="shared" si="35"/>
        <v>0</v>
      </c>
      <c r="AZ13" s="83">
        <f t="shared" si="36"/>
        <v>0</v>
      </c>
      <c r="BA13" s="82">
        <f>IF(OR(B13=Feiertage!$A$16,B13=Feiertage!$A$19),U13*Zuschläge_24_31/100,IF(AZ13&gt;0,AZ13*Feiertag_mit/100,IF(AX13&gt;0,AX13*Zuschläge_Sa/100,IF(AY13&gt;0,AY13*Zuschlag_So/100,0))))</f>
        <v>0</v>
      </c>
      <c r="BB13" s="82">
        <f>IF(AND(B13&lt;&gt;0,G13=Voreinstellung_Übersicht!$D$41),IF(EG=1,W13*Über_klein/100,IF(EG=2,W13*Über_groß/100,"Fehler")),0)</f>
        <v>0</v>
      </c>
      <c r="BC13" s="299">
        <f t="shared" ca="1" si="41"/>
        <v>0</v>
      </c>
      <c r="BD13" s="219">
        <f t="shared" ca="1" si="37"/>
        <v>1</v>
      </c>
      <c r="BE13" s="303">
        <f ca="1">IF(B13="","",INDIRECT(ADDRESS(MATCH(B13,Soll_AZ,1)+MATCH("Arbeitszeit 1 ab",Voreinstellung_Übersicht!B:B,0)-1,4,,,"Voreinstellung_Übersicht"),TRUE))</f>
        <v>1.6666666666666665</v>
      </c>
      <c r="BF13" s="1">
        <f t="shared" si="42"/>
        <v>0</v>
      </c>
    </row>
    <row r="14" spans="1:58" s="1" customFormat="1" ht="15" x14ac:dyDescent="0.3">
      <c r="A14" s="218">
        <f t="shared" si="0"/>
        <v>32</v>
      </c>
      <c r="B14" s="47">
        <f t="shared" si="38"/>
        <v>42222</v>
      </c>
      <c r="C14" s="219">
        <f t="shared" si="1"/>
        <v>1</v>
      </c>
      <c r="D14" s="220" t="str">
        <f t="shared" si="2"/>
        <v/>
      </c>
      <c r="E14" s="298" t="str">
        <f t="shared" si="3"/>
        <v/>
      </c>
      <c r="F14" s="87">
        <f t="shared" si="4"/>
        <v>42222</v>
      </c>
      <c r="G14" s="147"/>
      <c r="H14" s="74"/>
      <c r="I14" s="75"/>
      <c r="J14" s="221">
        <f t="shared" si="5"/>
        <v>0</v>
      </c>
      <c r="K14" s="76"/>
      <c r="L14" s="221">
        <f t="shared" si="43"/>
        <v>0</v>
      </c>
      <c r="M14" s="74"/>
      <c r="N14" s="75"/>
      <c r="O14" s="221">
        <f t="shared" si="6"/>
        <v>0</v>
      </c>
      <c r="P14" s="76"/>
      <c r="Q14" s="221">
        <f t="shared" si="44"/>
        <v>0</v>
      </c>
      <c r="R14" s="221">
        <f t="shared" si="45"/>
        <v>0</v>
      </c>
      <c r="S14" s="221">
        <f t="shared" si="7"/>
        <v>0</v>
      </c>
      <c r="T14" s="79">
        <f t="shared" si="8"/>
        <v>0</v>
      </c>
      <c r="U14" s="79">
        <f t="shared" si="39"/>
        <v>0</v>
      </c>
      <c r="V14" s="80">
        <f t="shared" ca="1" si="9"/>
        <v>0.33333333329999998</v>
      </c>
      <c r="W14" s="249" t="str">
        <f t="shared" ca="1" si="10"/>
        <v/>
      </c>
      <c r="X14" s="293"/>
      <c r="Y14" s="221">
        <f t="shared" si="11"/>
        <v>0</v>
      </c>
      <c r="Z14" s="299">
        <f ca="1">IF(B14="","",INDIRECT(ADDRESS(MATCH(B14,Soll_AZ,1)+MATCH("Arbeitszeit 1 ab",Voreinstellung_Übersicht!B:B,0)-1,WEEKDAY(B14,2)+4,,,"Voreinstellung_Übersicht"),TRUE))</f>
        <v>0.33333333333333331</v>
      </c>
      <c r="AA14" s="300">
        <f t="shared" ca="1" si="40"/>
        <v>0</v>
      </c>
      <c r="AB14" s="219">
        <f t="shared" si="12"/>
        <v>0</v>
      </c>
      <c r="AC14" s="219">
        <f t="shared" si="13"/>
        <v>0</v>
      </c>
      <c r="AD14" s="219">
        <f t="shared" si="14"/>
        <v>0</v>
      </c>
      <c r="AE14" s="219">
        <f t="shared" si="15"/>
        <v>0</v>
      </c>
      <c r="AF14" s="219">
        <f t="shared" si="16"/>
        <v>0</v>
      </c>
      <c r="AG14" s="219">
        <f t="shared" si="17"/>
        <v>0</v>
      </c>
      <c r="AH14" s="219">
        <f t="shared" si="18"/>
        <v>0</v>
      </c>
      <c r="AI14" s="219">
        <f t="shared" si="19"/>
        <v>0</v>
      </c>
      <c r="AJ14" s="219">
        <f t="shared" si="20"/>
        <v>0</v>
      </c>
      <c r="AK14" s="219">
        <f t="shared" si="21"/>
        <v>0</v>
      </c>
      <c r="AL14" s="219">
        <f t="shared" si="22"/>
        <v>0</v>
      </c>
      <c r="AM14" s="219">
        <f t="shared" si="23"/>
        <v>0</v>
      </c>
      <c r="AN14" s="301">
        <f t="shared" si="24"/>
        <v>0</v>
      </c>
      <c r="AO14" s="301">
        <f t="shared" si="25"/>
        <v>0</v>
      </c>
      <c r="AP14" s="301">
        <f t="shared" si="26"/>
        <v>0</v>
      </c>
      <c r="AQ14" s="301">
        <f t="shared" si="27"/>
        <v>0</v>
      </c>
      <c r="AR14" s="301">
        <f t="shared" si="28"/>
        <v>0</v>
      </c>
      <c r="AS14" s="301">
        <f t="shared" si="29"/>
        <v>0</v>
      </c>
      <c r="AT14" s="302">
        <f t="shared" si="30"/>
        <v>0</v>
      </c>
      <c r="AU14" s="302">
        <f t="shared" si="31"/>
        <v>0</v>
      </c>
      <c r="AV14" s="81">
        <f t="shared" si="32"/>
        <v>0</v>
      </c>
      <c r="AW14" s="82">
        <f t="shared" si="33"/>
        <v>0</v>
      </c>
      <c r="AX14" s="81">
        <f t="shared" si="34"/>
        <v>0</v>
      </c>
      <c r="AY14" s="83">
        <f t="shared" si="35"/>
        <v>0</v>
      </c>
      <c r="AZ14" s="83">
        <f t="shared" si="36"/>
        <v>0</v>
      </c>
      <c r="BA14" s="82">
        <f>IF(OR(B14=Feiertage!$A$16,B14=Feiertage!$A$19),U14*Zuschläge_24_31/100,IF(AZ14&gt;0,AZ14*Feiertag_mit/100,IF(AX14&gt;0,AX14*Zuschläge_Sa/100,IF(AY14&gt;0,AY14*Zuschlag_So/100,0))))</f>
        <v>0</v>
      </c>
      <c r="BB14" s="82">
        <f>IF(AND(B14&lt;&gt;0,G14=Voreinstellung_Übersicht!$D$41),IF(EG=1,W14*Über_klein/100,IF(EG=2,W14*Über_groß/100,"Fehler")),0)</f>
        <v>0</v>
      </c>
      <c r="BC14" s="299">
        <f t="shared" ca="1" si="41"/>
        <v>0</v>
      </c>
      <c r="BD14" s="219">
        <f t="shared" ca="1" si="37"/>
        <v>1</v>
      </c>
      <c r="BE14" s="303">
        <f ca="1">IF(B14="","",INDIRECT(ADDRESS(MATCH(B14,Soll_AZ,1)+MATCH("Arbeitszeit 1 ab",Voreinstellung_Übersicht!B:B,0)-1,4,,,"Voreinstellung_Übersicht"),TRUE))</f>
        <v>1.6666666666666665</v>
      </c>
      <c r="BF14" s="1">
        <f t="shared" si="42"/>
        <v>0</v>
      </c>
    </row>
    <row r="15" spans="1:58" s="1" customFormat="1" ht="15" x14ac:dyDescent="0.3">
      <c r="A15" s="218">
        <f t="shared" si="0"/>
        <v>32</v>
      </c>
      <c r="B15" s="47">
        <f t="shared" si="38"/>
        <v>42223</v>
      </c>
      <c r="C15" s="219">
        <f t="shared" si="1"/>
        <v>1</v>
      </c>
      <c r="D15" s="220" t="str">
        <f t="shared" si="2"/>
        <v/>
      </c>
      <c r="E15" s="298" t="str">
        <f t="shared" si="3"/>
        <v/>
      </c>
      <c r="F15" s="87">
        <f t="shared" si="4"/>
        <v>42223</v>
      </c>
      <c r="G15" s="147"/>
      <c r="H15" s="74"/>
      <c r="I15" s="75"/>
      <c r="J15" s="221">
        <f t="shared" si="5"/>
        <v>0</v>
      </c>
      <c r="K15" s="76"/>
      <c r="L15" s="221">
        <f t="shared" si="43"/>
        <v>0</v>
      </c>
      <c r="M15" s="74"/>
      <c r="N15" s="75"/>
      <c r="O15" s="221">
        <f t="shared" si="6"/>
        <v>0</v>
      </c>
      <c r="P15" s="76"/>
      <c r="Q15" s="221">
        <f t="shared" si="44"/>
        <v>0</v>
      </c>
      <c r="R15" s="221">
        <f t="shared" si="45"/>
        <v>0</v>
      </c>
      <c r="S15" s="221">
        <f t="shared" si="7"/>
        <v>0</v>
      </c>
      <c r="T15" s="79">
        <f t="shared" si="8"/>
        <v>0</v>
      </c>
      <c r="U15" s="79">
        <f t="shared" si="39"/>
        <v>0</v>
      </c>
      <c r="V15" s="80">
        <f t="shared" ca="1" si="9"/>
        <v>0.33333333329999998</v>
      </c>
      <c r="W15" s="249" t="str">
        <f t="shared" ca="1" si="10"/>
        <v/>
      </c>
      <c r="X15" s="293"/>
      <c r="Y15" s="221">
        <f t="shared" si="11"/>
        <v>0</v>
      </c>
      <c r="Z15" s="299">
        <f ca="1">IF(B15="","",INDIRECT(ADDRESS(MATCH(B15,Soll_AZ,1)+MATCH("Arbeitszeit 1 ab",Voreinstellung_Übersicht!B:B,0)-1,WEEKDAY(B15,2)+4,,,"Voreinstellung_Übersicht"),TRUE))</f>
        <v>0.33333333333333331</v>
      </c>
      <c r="AA15" s="300">
        <f t="shared" ca="1" si="40"/>
        <v>0</v>
      </c>
      <c r="AB15" s="219">
        <f t="shared" si="12"/>
        <v>0</v>
      </c>
      <c r="AC15" s="219">
        <f t="shared" si="13"/>
        <v>0</v>
      </c>
      <c r="AD15" s="219">
        <f t="shared" si="14"/>
        <v>0</v>
      </c>
      <c r="AE15" s="219">
        <f t="shared" si="15"/>
        <v>0</v>
      </c>
      <c r="AF15" s="219">
        <f t="shared" si="16"/>
        <v>0</v>
      </c>
      <c r="AG15" s="219">
        <f t="shared" si="17"/>
        <v>0</v>
      </c>
      <c r="AH15" s="219">
        <f t="shared" si="18"/>
        <v>0</v>
      </c>
      <c r="AI15" s="219">
        <f t="shared" si="19"/>
        <v>0</v>
      </c>
      <c r="AJ15" s="219">
        <f t="shared" si="20"/>
        <v>0</v>
      </c>
      <c r="AK15" s="219">
        <f t="shared" si="21"/>
        <v>0</v>
      </c>
      <c r="AL15" s="219">
        <f t="shared" si="22"/>
        <v>0</v>
      </c>
      <c r="AM15" s="219">
        <f t="shared" si="23"/>
        <v>0</v>
      </c>
      <c r="AN15" s="301">
        <f t="shared" si="24"/>
        <v>0</v>
      </c>
      <c r="AO15" s="301">
        <f t="shared" si="25"/>
        <v>0</v>
      </c>
      <c r="AP15" s="301">
        <f t="shared" si="26"/>
        <v>0</v>
      </c>
      <c r="AQ15" s="301">
        <f t="shared" si="27"/>
        <v>0</v>
      </c>
      <c r="AR15" s="301">
        <f t="shared" si="28"/>
        <v>0</v>
      </c>
      <c r="AS15" s="301">
        <f t="shared" si="29"/>
        <v>0</v>
      </c>
      <c r="AT15" s="302">
        <f t="shared" si="30"/>
        <v>0</v>
      </c>
      <c r="AU15" s="302">
        <f t="shared" si="31"/>
        <v>0</v>
      </c>
      <c r="AV15" s="81">
        <f t="shared" si="32"/>
        <v>0</v>
      </c>
      <c r="AW15" s="82">
        <f t="shared" si="33"/>
        <v>0</v>
      </c>
      <c r="AX15" s="81">
        <f t="shared" si="34"/>
        <v>0</v>
      </c>
      <c r="AY15" s="83">
        <f t="shared" si="35"/>
        <v>0</v>
      </c>
      <c r="AZ15" s="83">
        <f t="shared" si="36"/>
        <v>0</v>
      </c>
      <c r="BA15" s="82">
        <f>IF(OR(B15=Feiertage!$A$16,B15=Feiertage!$A$19),U15*Zuschläge_24_31/100,IF(AZ15&gt;0,AZ15*Feiertag_mit/100,IF(AX15&gt;0,AX15*Zuschläge_Sa/100,IF(AY15&gt;0,AY15*Zuschlag_So/100,0))))</f>
        <v>0</v>
      </c>
      <c r="BB15" s="82">
        <f>IF(AND(B15&lt;&gt;0,G15=Voreinstellung_Übersicht!$D$41),IF(EG=1,W15*Über_klein/100,IF(EG=2,W15*Über_groß/100,"Fehler")),0)</f>
        <v>0</v>
      </c>
      <c r="BC15" s="299">
        <f t="shared" ca="1" si="41"/>
        <v>0</v>
      </c>
      <c r="BD15" s="219">
        <f t="shared" ca="1" si="37"/>
        <v>1</v>
      </c>
      <c r="BE15" s="303">
        <f ca="1">IF(B15="","",INDIRECT(ADDRESS(MATCH(B15,Soll_AZ,1)+MATCH("Arbeitszeit 1 ab",Voreinstellung_Übersicht!B:B,0)-1,4,,,"Voreinstellung_Übersicht"),TRUE))</f>
        <v>1.6666666666666665</v>
      </c>
      <c r="BF15" s="1">
        <f t="shared" si="42"/>
        <v>0</v>
      </c>
    </row>
    <row r="16" spans="1:58" s="1" customFormat="1" ht="15" x14ac:dyDescent="0.3">
      <c r="A16" s="218">
        <f t="shared" si="0"/>
        <v>32</v>
      </c>
      <c r="B16" s="47">
        <f t="shared" si="38"/>
        <v>42224</v>
      </c>
      <c r="C16" s="219">
        <f t="shared" si="1"/>
        <v>1</v>
      </c>
      <c r="D16" s="220" t="str">
        <f t="shared" si="2"/>
        <v/>
      </c>
      <c r="E16" s="298" t="str">
        <f t="shared" si="3"/>
        <v/>
      </c>
      <c r="F16" s="87">
        <f t="shared" si="4"/>
        <v>42224</v>
      </c>
      <c r="G16" s="147"/>
      <c r="H16" s="74"/>
      <c r="I16" s="75"/>
      <c r="J16" s="221">
        <f t="shared" si="5"/>
        <v>0</v>
      </c>
      <c r="K16" s="76"/>
      <c r="L16" s="221">
        <f t="shared" si="43"/>
        <v>0</v>
      </c>
      <c r="M16" s="74"/>
      <c r="N16" s="75"/>
      <c r="O16" s="221">
        <f t="shared" si="6"/>
        <v>0</v>
      </c>
      <c r="P16" s="76"/>
      <c r="Q16" s="221">
        <f t="shared" si="44"/>
        <v>0</v>
      </c>
      <c r="R16" s="221">
        <f t="shared" si="45"/>
        <v>0</v>
      </c>
      <c r="S16" s="221">
        <f t="shared" si="7"/>
        <v>0</v>
      </c>
      <c r="T16" s="79">
        <f t="shared" si="8"/>
        <v>0</v>
      </c>
      <c r="U16" s="79">
        <f t="shared" si="39"/>
        <v>0</v>
      </c>
      <c r="V16" s="80">
        <f t="shared" ca="1" si="9"/>
        <v>0.33333333329999998</v>
      </c>
      <c r="W16" s="249" t="str">
        <f t="shared" ca="1" si="10"/>
        <v/>
      </c>
      <c r="X16" s="293"/>
      <c r="Y16" s="221">
        <f t="shared" si="11"/>
        <v>0</v>
      </c>
      <c r="Z16" s="299">
        <f ca="1">IF(B16="","",INDIRECT(ADDRESS(MATCH(B16,Soll_AZ,1)+MATCH("Arbeitszeit 1 ab",Voreinstellung_Übersicht!B:B,0)-1,WEEKDAY(B16,2)+4,,,"Voreinstellung_Übersicht"),TRUE))</f>
        <v>0.33333333333333331</v>
      </c>
      <c r="AA16" s="300">
        <f t="shared" ca="1" si="40"/>
        <v>0</v>
      </c>
      <c r="AB16" s="219">
        <f t="shared" si="12"/>
        <v>0</v>
      </c>
      <c r="AC16" s="219">
        <f t="shared" si="13"/>
        <v>0</v>
      </c>
      <c r="AD16" s="219">
        <f t="shared" si="14"/>
        <v>0</v>
      </c>
      <c r="AE16" s="219">
        <f t="shared" si="15"/>
        <v>0</v>
      </c>
      <c r="AF16" s="219">
        <f t="shared" si="16"/>
        <v>0</v>
      </c>
      <c r="AG16" s="219">
        <f t="shared" si="17"/>
        <v>0</v>
      </c>
      <c r="AH16" s="219">
        <f t="shared" si="18"/>
        <v>0</v>
      </c>
      <c r="AI16" s="219">
        <f t="shared" si="19"/>
        <v>0</v>
      </c>
      <c r="AJ16" s="219">
        <f t="shared" si="20"/>
        <v>0</v>
      </c>
      <c r="AK16" s="219">
        <f t="shared" si="21"/>
        <v>0</v>
      </c>
      <c r="AL16" s="219">
        <f t="shared" si="22"/>
        <v>0</v>
      </c>
      <c r="AM16" s="219">
        <f t="shared" si="23"/>
        <v>0</v>
      </c>
      <c r="AN16" s="301">
        <f t="shared" si="24"/>
        <v>0</v>
      </c>
      <c r="AO16" s="301">
        <f t="shared" si="25"/>
        <v>0</v>
      </c>
      <c r="AP16" s="301">
        <f t="shared" si="26"/>
        <v>0</v>
      </c>
      <c r="AQ16" s="301">
        <f t="shared" si="27"/>
        <v>0</v>
      </c>
      <c r="AR16" s="301">
        <f t="shared" si="28"/>
        <v>0</v>
      </c>
      <c r="AS16" s="301">
        <f t="shared" si="29"/>
        <v>0</v>
      </c>
      <c r="AT16" s="302">
        <f t="shared" si="30"/>
        <v>0</v>
      </c>
      <c r="AU16" s="302">
        <f t="shared" si="31"/>
        <v>0</v>
      </c>
      <c r="AV16" s="81">
        <f t="shared" si="32"/>
        <v>0</v>
      </c>
      <c r="AW16" s="82">
        <f t="shared" si="33"/>
        <v>0</v>
      </c>
      <c r="AX16" s="81">
        <f t="shared" si="34"/>
        <v>0</v>
      </c>
      <c r="AY16" s="83">
        <f t="shared" si="35"/>
        <v>0</v>
      </c>
      <c r="AZ16" s="83">
        <f t="shared" si="36"/>
        <v>0</v>
      </c>
      <c r="BA16" s="82">
        <f>IF(OR(B16=Feiertage!$A$16,B16=Feiertage!$A$19),U16*Zuschläge_24_31/100,IF(AZ16&gt;0,AZ16*Feiertag_mit/100,IF(AX16&gt;0,AX16*Zuschläge_Sa/100,IF(AY16&gt;0,AY16*Zuschlag_So/100,0))))</f>
        <v>0</v>
      </c>
      <c r="BB16" s="82">
        <f>IF(AND(B16&lt;&gt;0,G16=Voreinstellung_Übersicht!$D$41),IF(EG=1,W16*Über_klein/100,IF(EG=2,W16*Über_groß/100,"Fehler")),0)</f>
        <v>0</v>
      </c>
      <c r="BC16" s="299">
        <f t="shared" ca="1" si="41"/>
        <v>0</v>
      </c>
      <c r="BD16" s="219">
        <f t="shared" ca="1" si="37"/>
        <v>1</v>
      </c>
      <c r="BE16" s="303">
        <f ca="1">IF(B16="","",INDIRECT(ADDRESS(MATCH(B16,Soll_AZ,1)+MATCH("Arbeitszeit 1 ab",Voreinstellung_Übersicht!B:B,0)-1,4,,,"Voreinstellung_Übersicht"),TRUE))</f>
        <v>1.6666666666666665</v>
      </c>
      <c r="BF16" s="1">
        <f t="shared" si="42"/>
        <v>0</v>
      </c>
    </row>
    <row r="17" spans="1:58" s="1" customFormat="1" ht="15" x14ac:dyDescent="0.3">
      <c r="A17" s="218">
        <f t="shared" si="0"/>
        <v>32</v>
      </c>
      <c r="B17" s="47">
        <f t="shared" si="38"/>
        <v>42225</v>
      </c>
      <c r="C17" s="219">
        <f t="shared" si="1"/>
        <v>0</v>
      </c>
      <c r="D17" s="220" t="str">
        <f t="shared" si="2"/>
        <v/>
      </c>
      <c r="E17" s="298" t="str">
        <f t="shared" si="3"/>
        <v/>
      </c>
      <c r="F17" s="87">
        <f t="shared" si="4"/>
        <v>42225</v>
      </c>
      <c r="G17" s="147"/>
      <c r="H17" s="74"/>
      <c r="I17" s="75"/>
      <c r="J17" s="221">
        <f t="shared" si="5"/>
        <v>0</v>
      </c>
      <c r="K17" s="76"/>
      <c r="L17" s="221">
        <f t="shared" si="43"/>
        <v>0</v>
      </c>
      <c r="M17" s="74"/>
      <c r="N17" s="75"/>
      <c r="O17" s="221">
        <f t="shared" si="6"/>
        <v>0</v>
      </c>
      <c r="P17" s="76"/>
      <c r="Q17" s="221">
        <f t="shared" si="44"/>
        <v>0</v>
      </c>
      <c r="R17" s="221">
        <f t="shared" si="45"/>
        <v>0</v>
      </c>
      <c r="S17" s="221">
        <f t="shared" si="7"/>
        <v>0</v>
      </c>
      <c r="T17" s="79">
        <f t="shared" si="8"/>
        <v>0</v>
      </c>
      <c r="U17" s="79">
        <f t="shared" si="39"/>
        <v>0</v>
      </c>
      <c r="V17" s="80">
        <f t="shared" ca="1" si="9"/>
        <v>0</v>
      </c>
      <c r="W17" s="249" t="str">
        <f t="shared" ca="1" si="10"/>
        <v/>
      </c>
      <c r="X17" s="293"/>
      <c r="Y17" s="221">
        <f t="shared" si="11"/>
        <v>0</v>
      </c>
      <c r="Z17" s="299">
        <f ca="1">IF(B17="","",INDIRECT(ADDRESS(MATCH(B17,Soll_AZ,1)+MATCH("Arbeitszeit 1 ab",Voreinstellung_Übersicht!B:B,0)-1,WEEKDAY(B17,2)+4,,,"Voreinstellung_Übersicht"),TRUE))</f>
        <v>0</v>
      </c>
      <c r="AA17" s="300">
        <f t="shared" ca="1" si="40"/>
        <v>0</v>
      </c>
      <c r="AB17" s="219">
        <f t="shared" si="12"/>
        <v>0</v>
      </c>
      <c r="AC17" s="219">
        <f t="shared" si="13"/>
        <v>0</v>
      </c>
      <c r="AD17" s="219">
        <f t="shared" si="14"/>
        <v>0</v>
      </c>
      <c r="AE17" s="219">
        <f t="shared" si="15"/>
        <v>0</v>
      </c>
      <c r="AF17" s="219">
        <f t="shared" si="16"/>
        <v>0</v>
      </c>
      <c r="AG17" s="219">
        <f t="shared" si="17"/>
        <v>0</v>
      </c>
      <c r="AH17" s="219">
        <f t="shared" si="18"/>
        <v>0</v>
      </c>
      <c r="AI17" s="219">
        <f t="shared" si="19"/>
        <v>0</v>
      </c>
      <c r="AJ17" s="219">
        <f t="shared" si="20"/>
        <v>0</v>
      </c>
      <c r="AK17" s="219">
        <f t="shared" si="21"/>
        <v>0</v>
      </c>
      <c r="AL17" s="219">
        <f t="shared" si="22"/>
        <v>0</v>
      </c>
      <c r="AM17" s="219">
        <f t="shared" si="23"/>
        <v>0</v>
      </c>
      <c r="AN17" s="301">
        <f t="shared" si="24"/>
        <v>0</v>
      </c>
      <c r="AO17" s="301">
        <f t="shared" si="25"/>
        <v>0</v>
      </c>
      <c r="AP17" s="301">
        <f t="shared" si="26"/>
        <v>0</v>
      </c>
      <c r="AQ17" s="301">
        <f t="shared" si="27"/>
        <v>0</v>
      </c>
      <c r="AR17" s="301">
        <f t="shared" si="28"/>
        <v>0</v>
      </c>
      <c r="AS17" s="301">
        <f t="shared" si="29"/>
        <v>0</v>
      </c>
      <c r="AT17" s="302">
        <f t="shared" si="30"/>
        <v>0</v>
      </c>
      <c r="AU17" s="302">
        <f t="shared" si="31"/>
        <v>0</v>
      </c>
      <c r="AV17" s="81">
        <f t="shared" si="32"/>
        <v>0</v>
      </c>
      <c r="AW17" s="82">
        <f t="shared" si="33"/>
        <v>0</v>
      </c>
      <c r="AX17" s="81">
        <f t="shared" si="34"/>
        <v>0</v>
      </c>
      <c r="AY17" s="83">
        <f t="shared" si="35"/>
        <v>0</v>
      </c>
      <c r="AZ17" s="83">
        <f t="shared" si="36"/>
        <v>0</v>
      </c>
      <c r="BA17" s="82">
        <f>IF(OR(B17=Feiertage!$A$16,B17=Feiertage!$A$19),U17*Zuschläge_24_31/100,IF(AZ17&gt;0,AZ17*Feiertag_mit/100,IF(AX17&gt;0,AX17*Zuschläge_Sa/100,IF(AY17&gt;0,AY17*Zuschlag_So/100,0))))</f>
        <v>0</v>
      </c>
      <c r="BB17" s="82">
        <f>IF(AND(B17&lt;&gt;0,G17=Voreinstellung_Übersicht!$D$41),IF(EG=1,W17*Über_klein/100,IF(EG=2,W17*Über_groß/100,"Fehler")),0)</f>
        <v>0</v>
      </c>
      <c r="BC17" s="299">
        <f t="shared" ca="1" si="41"/>
        <v>0</v>
      </c>
      <c r="BD17" s="219">
        <f t="shared" ca="1" si="37"/>
        <v>1</v>
      </c>
      <c r="BE17" s="303">
        <f ca="1">IF(B17="","",INDIRECT(ADDRESS(MATCH(B17,Soll_AZ,1)+MATCH("Arbeitszeit 1 ab",Voreinstellung_Übersicht!B:B,0)-1,4,,,"Voreinstellung_Übersicht"),TRUE))</f>
        <v>1.6666666666666665</v>
      </c>
      <c r="BF17" s="1">
        <f t="shared" si="42"/>
        <v>0</v>
      </c>
    </row>
    <row r="18" spans="1:58" s="1" customFormat="1" ht="15" x14ac:dyDescent="0.3">
      <c r="A18" s="218">
        <f t="shared" si="0"/>
        <v>33</v>
      </c>
      <c r="B18" s="47">
        <f t="shared" si="38"/>
        <v>42226</v>
      </c>
      <c r="C18" s="219">
        <f t="shared" si="1"/>
        <v>0</v>
      </c>
      <c r="D18" s="220" t="str">
        <f t="shared" si="2"/>
        <v/>
      </c>
      <c r="E18" s="298" t="str">
        <f t="shared" si="3"/>
        <v/>
      </c>
      <c r="F18" s="87">
        <f t="shared" si="4"/>
        <v>42226</v>
      </c>
      <c r="G18" s="147"/>
      <c r="H18" s="74"/>
      <c r="I18" s="75"/>
      <c r="J18" s="221">
        <f t="shared" si="5"/>
        <v>0</v>
      </c>
      <c r="K18" s="76"/>
      <c r="L18" s="221">
        <f t="shared" si="43"/>
        <v>0</v>
      </c>
      <c r="M18" s="74"/>
      <c r="N18" s="75"/>
      <c r="O18" s="221">
        <f t="shared" si="6"/>
        <v>0</v>
      </c>
      <c r="P18" s="76"/>
      <c r="Q18" s="221">
        <f t="shared" si="44"/>
        <v>0</v>
      </c>
      <c r="R18" s="221">
        <f t="shared" si="45"/>
        <v>0</v>
      </c>
      <c r="S18" s="221">
        <f t="shared" si="7"/>
        <v>0</v>
      </c>
      <c r="T18" s="79">
        <f t="shared" si="8"/>
        <v>0</v>
      </c>
      <c r="U18" s="79">
        <f t="shared" si="39"/>
        <v>0</v>
      </c>
      <c r="V18" s="80">
        <f t="shared" ca="1" si="9"/>
        <v>0</v>
      </c>
      <c r="W18" s="249" t="str">
        <f t="shared" ca="1" si="10"/>
        <v/>
      </c>
      <c r="X18" s="293"/>
      <c r="Y18" s="221">
        <f t="shared" si="11"/>
        <v>0</v>
      </c>
      <c r="Z18" s="299">
        <f ca="1">IF(B18="","",INDIRECT(ADDRESS(MATCH(B18,Soll_AZ,1)+MATCH("Arbeitszeit 1 ab",Voreinstellung_Übersicht!B:B,0)-1,WEEKDAY(B18,2)+4,,,"Voreinstellung_Übersicht"),TRUE))</f>
        <v>0</v>
      </c>
      <c r="AA18" s="300">
        <f t="shared" ca="1" si="40"/>
        <v>0</v>
      </c>
      <c r="AB18" s="219">
        <f t="shared" si="12"/>
        <v>0</v>
      </c>
      <c r="AC18" s="219">
        <f t="shared" si="13"/>
        <v>0</v>
      </c>
      <c r="AD18" s="219">
        <f t="shared" si="14"/>
        <v>0</v>
      </c>
      <c r="AE18" s="219">
        <f t="shared" si="15"/>
        <v>0</v>
      </c>
      <c r="AF18" s="219">
        <f t="shared" si="16"/>
        <v>0</v>
      </c>
      <c r="AG18" s="219">
        <f t="shared" si="17"/>
        <v>0</v>
      </c>
      <c r="AH18" s="219">
        <f t="shared" si="18"/>
        <v>0</v>
      </c>
      <c r="AI18" s="219">
        <f t="shared" si="19"/>
        <v>0</v>
      </c>
      <c r="AJ18" s="219">
        <f t="shared" si="20"/>
        <v>0</v>
      </c>
      <c r="AK18" s="219">
        <f t="shared" si="21"/>
        <v>0</v>
      </c>
      <c r="AL18" s="219">
        <f t="shared" si="22"/>
        <v>0</v>
      </c>
      <c r="AM18" s="219">
        <f t="shared" si="23"/>
        <v>0</v>
      </c>
      <c r="AN18" s="301">
        <f t="shared" si="24"/>
        <v>0</v>
      </c>
      <c r="AO18" s="301">
        <f t="shared" si="25"/>
        <v>0</v>
      </c>
      <c r="AP18" s="301">
        <f t="shared" si="26"/>
        <v>0</v>
      </c>
      <c r="AQ18" s="301">
        <f t="shared" si="27"/>
        <v>0</v>
      </c>
      <c r="AR18" s="301">
        <f t="shared" si="28"/>
        <v>0</v>
      </c>
      <c r="AS18" s="301">
        <f t="shared" si="29"/>
        <v>0</v>
      </c>
      <c r="AT18" s="302">
        <f t="shared" si="30"/>
        <v>0</v>
      </c>
      <c r="AU18" s="302">
        <f t="shared" si="31"/>
        <v>0</v>
      </c>
      <c r="AV18" s="81">
        <f t="shared" si="32"/>
        <v>0</v>
      </c>
      <c r="AW18" s="82">
        <f t="shared" si="33"/>
        <v>0</v>
      </c>
      <c r="AX18" s="81">
        <f t="shared" si="34"/>
        <v>0</v>
      </c>
      <c r="AY18" s="83">
        <f t="shared" si="35"/>
        <v>0</v>
      </c>
      <c r="AZ18" s="83">
        <f t="shared" si="36"/>
        <v>0</v>
      </c>
      <c r="BA18" s="82">
        <f>IF(OR(B18=Feiertage!$A$16,B18=Feiertage!$A$19),U18*Zuschläge_24_31/100,IF(AZ18&gt;0,AZ18*Feiertag_mit/100,IF(AX18&gt;0,AX18*Zuschläge_Sa/100,IF(AY18&gt;0,AY18*Zuschlag_So/100,0))))</f>
        <v>0</v>
      </c>
      <c r="BB18" s="82">
        <f>IF(AND(B18&lt;&gt;0,G18=Voreinstellung_Übersicht!$D$41),IF(EG=1,W18*Über_klein/100,IF(EG=2,W18*Über_groß/100,"Fehler")),0)</f>
        <v>0</v>
      </c>
      <c r="BC18" s="299">
        <f t="shared" ca="1" si="41"/>
        <v>0</v>
      </c>
      <c r="BD18" s="219">
        <f t="shared" ca="1" si="37"/>
        <v>1</v>
      </c>
      <c r="BE18" s="303">
        <f ca="1">IF(B18="","",INDIRECT(ADDRESS(MATCH(B18,Soll_AZ,1)+MATCH("Arbeitszeit 1 ab",Voreinstellung_Übersicht!B:B,0)-1,4,,,"Voreinstellung_Übersicht"),TRUE))</f>
        <v>1.6666666666666665</v>
      </c>
      <c r="BF18" s="1">
        <f t="shared" si="42"/>
        <v>0</v>
      </c>
    </row>
    <row r="19" spans="1:58" s="1" customFormat="1" ht="15" x14ac:dyDescent="0.3">
      <c r="A19" s="218">
        <f t="shared" si="0"/>
        <v>33</v>
      </c>
      <c r="B19" s="47">
        <f t="shared" si="38"/>
        <v>42227</v>
      </c>
      <c r="C19" s="219">
        <f t="shared" si="1"/>
        <v>1</v>
      </c>
      <c r="D19" s="220" t="str">
        <f t="shared" si="2"/>
        <v/>
      </c>
      <c r="E19" s="298" t="str">
        <f t="shared" si="3"/>
        <v/>
      </c>
      <c r="F19" s="87">
        <f t="shared" si="4"/>
        <v>42227</v>
      </c>
      <c r="G19" s="147"/>
      <c r="H19" s="74"/>
      <c r="I19" s="75"/>
      <c r="J19" s="221">
        <f t="shared" si="5"/>
        <v>0</v>
      </c>
      <c r="K19" s="76"/>
      <c r="L19" s="221">
        <f t="shared" si="43"/>
        <v>0</v>
      </c>
      <c r="M19" s="74"/>
      <c r="N19" s="75"/>
      <c r="O19" s="221">
        <f t="shared" si="6"/>
        <v>0</v>
      </c>
      <c r="P19" s="76"/>
      <c r="Q19" s="221">
        <f t="shared" si="44"/>
        <v>0</v>
      </c>
      <c r="R19" s="221">
        <f t="shared" si="45"/>
        <v>0</v>
      </c>
      <c r="S19" s="221">
        <f t="shared" si="7"/>
        <v>0</v>
      </c>
      <c r="T19" s="79">
        <f t="shared" si="8"/>
        <v>0</v>
      </c>
      <c r="U19" s="79">
        <f t="shared" si="39"/>
        <v>0</v>
      </c>
      <c r="V19" s="80">
        <f t="shared" ca="1" si="9"/>
        <v>0.33333333329999998</v>
      </c>
      <c r="W19" s="249" t="str">
        <f t="shared" ca="1" si="10"/>
        <v/>
      </c>
      <c r="X19" s="293"/>
      <c r="Y19" s="221">
        <f t="shared" si="11"/>
        <v>0</v>
      </c>
      <c r="Z19" s="299">
        <f ca="1">IF(B19="","",INDIRECT(ADDRESS(MATCH(B19,Soll_AZ,1)+MATCH("Arbeitszeit 1 ab",Voreinstellung_Übersicht!B:B,0)-1,WEEKDAY(B19,2)+4,,,"Voreinstellung_Übersicht"),TRUE))</f>
        <v>0.33333333333333331</v>
      </c>
      <c r="AA19" s="300">
        <f t="shared" ca="1" si="40"/>
        <v>0</v>
      </c>
      <c r="AB19" s="219">
        <f t="shared" si="12"/>
        <v>0</v>
      </c>
      <c r="AC19" s="219">
        <f t="shared" si="13"/>
        <v>0</v>
      </c>
      <c r="AD19" s="219">
        <f t="shared" si="14"/>
        <v>0</v>
      </c>
      <c r="AE19" s="219">
        <f t="shared" si="15"/>
        <v>0</v>
      </c>
      <c r="AF19" s="219">
        <f t="shared" si="16"/>
        <v>0</v>
      </c>
      <c r="AG19" s="219">
        <f t="shared" si="17"/>
        <v>0</v>
      </c>
      <c r="AH19" s="219">
        <f t="shared" si="18"/>
        <v>0</v>
      </c>
      <c r="AI19" s="219">
        <f t="shared" si="19"/>
        <v>0</v>
      </c>
      <c r="AJ19" s="219">
        <f t="shared" si="20"/>
        <v>0</v>
      </c>
      <c r="AK19" s="219">
        <f t="shared" si="21"/>
        <v>0</v>
      </c>
      <c r="AL19" s="219">
        <f t="shared" si="22"/>
        <v>0</v>
      </c>
      <c r="AM19" s="219">
        <f t="shared" si="23"/>
        <v>0</v>
      </c>
      <c r="AN19" s="301">
        <f t="shared" si="24"/>
        <v>0</v>
      </c>
      <c r="AO19" s="301">
        <f t="shared" si="25"/>
        <v>0</v>
      </c>
      <c r="AP19" s="301">
        <f t="shared" si="26"/>
        <v>0</v>
      </c>
      <c r="AQ19" s="301">
        <f t="shared" si="27"/>
        <v>0</v>
      </c>
      <c r="AR19" s="301">
        <f t="shared" si="28"/>
        <v>0</v>
      </c>
      <c r="AS19" s="301">
        <f t="shared" si="29"/>
        <v>0</v>
      </c>
      <c r="AT19" s="302">
        <f t="shared" si="30"/>
        <v>0</v>
      </c>
      <c r="AU19" s="302">
        <f t="shared" si="31"/>
        <v>0</v>
      </c>
      <c r="AV19" s="81">
        <f t="shared" si="32"/>
        <v>0</v>
      </c>
      <c r="AW19" s="82">
        <f t="shared" si="33"/>
        <v>0</v>
      </c>
      <c r="AX19" s="81">
        <f t="shared" si="34"/>
        <v>0</v>
      </c>
      <c r="AY19" s="83">
        <f t="shared" si="35"/>
        <v>0</v>
      </c>
      <c r="AZ19" s="83">
        <f t="shared" si="36"/>
        <v>0</v>
      </c>
      <c r="BA19" s="82">
        <f>IF(OR(B19=Feiertage!$A$16,B19=Feiertage!$A$19),U19*Zuschläge_24_31/100,IF(AZ19&gt;0,AZ19*Feiertag_mit/100,IF(AX19&gt;0,AX19*Zuschläge_Sa/100,IF(AY19&gt;0,AY19*Zuschlag_So/100,0))))</f>
        <v>0</v>
      </c>
      <c r="BB19" s="82">
        <f>IF(AND(B19&lt;&gt;0,G19=Voreinstellung_Übersicht!$D$41),IF(EG=1,W19*Über_klein/100,IF(EG=2,W19*Über_groß/100,"Fehler")),0)</f>
        <v>0</v>
      </c>
      <c r="BC19" s="299">
        <f t="shared" ca="1" si="41"/>
        <v>0</v>
      </c>
      <c r="BD19" s="219">
        <f t="shared" ca="1" si="37"/>
        <v>1</v>
      </c>
      <c r="BE19" s="303">
        <f ca="1">IF(B19="","",INDIRECT(ADDRESS(MATCH(B19,Soll_AZ,1)+MATCH("Arbeitszeit 1 ab",Voreinstellung_Übersicht!B:B,0)-1,4,,,"Voreinstellung_Übersicht"),TRUE))</f>
        <v>1.6666666666666665</v>
      </c>
      <c r="BF19" s="1">
        <f t="shared" si="42"/>
        <v>0</v>
      </c>
    </row>
    <row r="20" spans="1:58" s="1" customFormat="1" ht="15" x14ac:dyDescent="0.3">
      <c r="A20" s="218">
        <f t="shared" si="0"/>
        <v>33</v>
      </c>
      <c r="B20" s="47">
        <f t="shared" si="38"/>
        <v>42228</v>
      </c>
      <c r="C20" s="219">
        <f t="shared" si="1"/>
        <v>1</v>
      </c>
      <c r="D20" s="220" t="str">
        <f t="shared" si="2"/>
        <v/>
      </c>
      <c r="E20" s="298" t="str">
        <f t="shared" si="3"/>
        <v/>
      </c>
      <c r="F20" s="87">
        <f t="shared" si="4"/>
        <v>42228</v>
      </c>
      <c r="G20" s="147"/>
      <c r="H20" s="74"/>
      <c r="I20" s="75"/>
      <c r="J20" s="221">
        <f t="shared" si="5"/>
        <v>0</v>
      </c>
      <c r="K20" s="76"/>
      <c r="L20" s="221">
        <f t="shared" si="43"/>
        <v>0</v>
      </c>
      <c r="M20" s="74"/>
      <c r="N20" s="75"/>
      <c r="O20" s="221">
        <f t="shared" si="6"/>
        <v>0</v>
      </c>
      <c r="P20" s="76"/>
      <c r="Q20" s="221">
        <f t="shared" si="44"/>
        <v>0</v>
      </c>
      <c r="R20" s="221">
        <f t="shared" si="45"/>
        <v>0</v>
      </c>
      <c r="S20" s="221">
        <f t="shared" si="7"/>
        <v>0</v>
      </c>
      <c r="T20" s="79">
        <f t="shared" si="8"/>
        <v>0</v>
      </c>
      <c r="U20" s="79">
        <f t="shared" si="39"/>
        <v>0</v>
      </c>
      <c r="V20" s="80">
        <f t="shared" ca="1" si="9"/>
        <v>0.33333333329999998</v>
      </c>
      <c r="W20" s="249" t="str">
        <f t="shared" ca="1" si="10"/>
        <v/>
      </c>
      <c r="X20" s="293"/>
      <c r="Y20" s="221">
        <f t="shared" si="11"/>
        <v>0</v>
      </c>
      <c r="Z20" s="299">
        <f ca="1">IF(B20="","",INDIRECT(ADDRESS(MATCH(B20,Soll_AZ,1)+MATCH("Arbeitszeit 1 ab",Voreinstellung_Übersicht!B:B,0)-1,WEEKDAY(B20,2)+4,,,"Voreinstellung_Übersicht"),TRUE))</f>
        <v>0.33333333333333331</v>
      </c>
      <c r="AA20" s="300">
        <f t="shared" ca="1" si="40"/>
        <v>0</v>
      </c>
      <c r="AB20" s="219">
        <f t="shared" si="12"/>
        <v>0</v>
      </c>
      <c r="AC20" s="219">
        <f t="shared" si="13"/>
        <v>0</v>
      </c>
      <c r="AD20" s="219">
        <f t="shared" si="14"/>
        <v>0</v>
      </c>
      <c r="AE20" s="219">
        <f t="shared" si="15"/>
        <v>0</v>
      </c>
      <c r="AF20" s="219">
        <f t="shared" si="16"/>
        <v>0</v>
      </c>
      <c r="AG20" s="219">
        <f t="shared" si="17"/>
        <v>0</v>
      </c>
      <c r="AH20" s="219">
        <f t="shared" si="18"/>
        <v>0</v>
      </c>
      <c r="AI20" s="219">
        <f t="shared" si="19"/>
        <v>0</v>
      </c>
      <c r="AJ20" s="219">
        <f t="shared" si="20"/>
        <v>0</v>
      </c>
      <c r="AK20" s="219">
        <f t="shared" si="21"/>
        <v>0</v>
      </c>
      <c r="AL20" s="219">
        <f t="shared" si="22"/>
        <v>0</v>
      </c>
      <c r="AM20" s="219">
        <f t="shared" si="23"/>
        <v>0</v>
      </c>
      <c r="AN20" s="301">
        <f t="shared" si="24"/>
        <v>0</v>
      </c>
      <c r="AO20" s="301">
        <f t="shared" si="25"/>
        <v>0</v>
      </c>
      <c r="AP20" s="301">
        <f t="shared" si="26"/>
        <v>0</v>
      </c>
      <c r="AQ20" s="301">
        <f t="shared" si="27"/>
        <v>0</v>
      </c>
      <c r="AR20" s="301">
        <f t="shared" si="28"/>
        <v>0</v>
      </c>
      <c r="AS20" s="301">
        <f t="shared" si="29"/>
        <v>0</v>
      </c>
      <c r="AT20" s="302">
        <f t="shared" si="30"/>
        <v>0</v>
      </c>
      <c r="AU20" s="302">
        <f t="shared" si="31"/>
        <v>0</v>
      </c>
      <c r="AV20" s="81">
        <f t="shared" si="32"/>
        <v>0</v>
      </c>
      <c r="AW20" s="82">
        <f t="shared" si="33"/>
        <v>0</v>
      </c>
      <c r="AX20" s="81">
        <f t="shared" si="34"/>
        <v>0</v>
      </c>
      <c r="AY20" s="83">
        <f t="shared" si="35"/>
        <v>0</v>
      </c>
      <c r="AZ20" s="83">
        <f t="shared" si="36"/>
        <v>0</v>
      </c>
      <c r="BA20" s="82">
        <f>IF(OR(B20=Feiertage!$A$16,B20=Feiertage!$A$19),U20*Zuschläge_24_31/100,IF(AZ20&gt;0,AZ20*Feiertag_mit/100,IF(AX20&gt;0,AX20*Zuschläge_Sa/100,IF(AY20&gt;0,AY20*Zuschlag_So/100,0))))</f>
        <v>0</v>
      </c>
      <c r="BB20" s="82">
        <f>IF(AND(B20&lt;&gt;0,G20=Voreinstellung_Übersicht!$D$41),IF(EG=1,W20*Über_klein/100,IF(EG=2,W20*Über_groß/100,"Fehler")),0)</f>
        <v>0</v>
      </c>
      <c r="BC20" s="299">
        <f t="shared" ca="1" si="41"/>
        <v>0</v>
      </c>
      <c r="BD20" s="219">
        <f t="shared" ca="1" si="37"/>
        <v>1</v>
      </c>
      <c r="BE20" s="303">
        <f ca="1">IF(B20="","",INDIRECT(ADDRESS(MATCH(B20,Soll_AZ,1)+MATCH("Arbeitszeit 1 ab",Voreinstellung_Übersicht!B:B,0)-1,4,,,"Voreinstellung_Übersicht"),TRUE))</f>
        <v>1.6666666666666665</v>
      </c>
      <c r="BF20" s="1">
        <f t="shared" si="42"/>
        <v>0</v>
      </c>
    </row>
    <row r="21" spans="1:58" s="1" customFormat="1" ht="15" x14ac:dyDescent="0.3">
      <c r="A21" s="218">
        <f t="shared" si="0"/>
        <v>33</v>
      </c>
      <c r="B21" s="47">
        <f t="shared" si="38"/>
        <v>42229</v>
      </c>
      <c r="C21" s="219">
        <f t="shared" si="1"/>
        <v>1</v>
      </c>
      <c r="D21" s="220" t="str">
        <f t="shared" si="2"/>
        <v/>
      </c>
      <c r="E21" s="298" t="str">
        <f t="shared" si="3"/>
        <v/>
      </c>
      <c r="F21" s="87">
        <f t="shared" si="4"/>
        <v>42229</v>
      </c>
      <c r="G21" s="147"/>
      <c r="H21" s="74"/>
      <c r="I21" s="75"/>
      <c r="J21" s="221">
        <f t="shared" si="5"/>
        <v>0</v>
      </c>
      <c r="K21" s="76"/>
      <c r="L21" s="221">
        <f t="shared" si="43"/>
        <v>0</v>
      </c>
      <c r="M21" s="74"/>
      <c r="N21" s="75"/>
      <c r="O21" s="221">
        <f t="shared" si="6"/>
        <v>0</v>
      </c>
      <c r="P21" s="76"/>
      <c r="Q21" s="221">
        <f t="shared" si="44"/>
        <v>0</v>
      </c>
      <c r="R21" s="221">
        <f t="shared" si="45"/>
        <v>0</v>
      </c>
      <c r="S21" s="221">
        <f t="shared" si="7"/>
        <v>0</v>
      </c>
      <c r="T21" s="79">
        <f t="shared" si="8"/>
        <v>0</v>
      </c>
      <c r="U21" s="79">
        <f t="shared" si="39"/>
        <v>0</v>
      </c>
      <c r="V21" s="80">
        <f t="shared" ca="1" si="9"/>
        <v>0.33333333329999998</v>
      </c>
      <c r="W21" s="249" t="str">
        <f t="shared" ca="1" si="10"/>
        <v/>
      </c>
      <c r="X21" s="293"/>
      <c r="Y21" s="221">
        <f t="shared" si="11"/>
        <v>0</v>
      </c>
      <c r="Z21" s="299">
        <f ca="1">IF(B21="","",INDIRECT(ADDRESS(MATCH(B21,Soll_AZ,1)+MATCH("Arbeitszeit 1 ab",Voreinstellung_Übersicht!B:B,0)-1,WEEKDAY(B21,2)+4,,,"Voreinstellung_Übersicht"),TRUE))</f>
        <v>0.33333333333333331</v>
      </c>
      <c r="AA21" s="300">
        <f t="shared" ca="1" si="40"/>
        <v>0</v>
      </c>
      <c r="AB21" s="219">
        <f t="shared" si="12"/>
        <v>0</v>
      </c>
      <c r="AC21" s="219">
        <f t="shared" si="13"/>
        <v>0</v>
      </c>
      <c r="AD21" s="219">
        <f t="shared" si="14"/>
        <v>0</v>
      </c>
      <c r="AE21" s="219">
        <f t="shared" si="15"/>
        <v>0</v>
      </c>
      <c r="AF21" s="219">
        <f t="shared" si="16"/>
        <v>0</v>
      </c>
      <c r="AG21" s="219">
        <f t="shared" si="17"/>
        <v>0</v>
      </c>
      <c r="AH21" s="219">
        <f t="shared" si="18"/>
        <v>0</v>
      </c>
      <c r="AI21" s="219">
        <f t="shared" si="19"/>
        <v>0</v>
      </c>
      <c r="AJ21" s="219">
        <f t="shared" si="20"/>
        <v>0</v>
      </c>
      <c r="AK21" s="219">
        <f t="shared" si="21"/>
        <v>0</v>
      </c>
      <c r="AL21" s="219">
        <f t="shared" si="22"/>
        <v>0</v>
      </c>
      <c r="AM21" s="219">
        <f t="shared" si="23"/>
        <v>0</v>
      </c>
      <c r="AN21" s="301">
        <f t="shared" si="24"/>
        <v>0</v>
      </c>
      <c r="AO21" s="301">
        <f t="shared" si="25"/>
        <v>0</v>
      </c>
      <c r="AP21" s="301">
        <f t="shared" si="26"/>
        <v>0</v>
      </c>
      <c r="AQ21" s="301">
        <f t="shared" si="27"/>
        <v>0</v>
      </c>
      <c r="AR21" s="301">
        <f t="shared" si="28"/>
        <v>0</v>
      </c>
      <c r="AS21" s="301">
        <f t="shared" si="29"/>
        <v>0</v>
      </c>
      <c r="AT21" s="302">
        <f t="shared" si="30"/>
        <v>0</v>
      </c>
      <c r="AU21" s="302">
        <f t="shared" si="31"/>
        <v>0</v>
      </c>
      <c r="AV21" s="81">
        <f t="shared" si="32"/>
        <v>0</v>
      </c>
      <c r="AW21" s="82">
        <f t="shared" si="33"/>
        <v>0</v>
      </c>
      <c r="AX21" s="81">
        <f t="shared" si="34"/>
        <v>0</v>
      </c>
      <c r="AY21" s="83">
        <f t="shared" si="35"/>
        <v>0</v>
      </c>
      <c r="AZ21" s="83">
        <f t="shared" si="36"/>
        <v>0</v>
      </c>
      <c r="BA21" s="82">
        <f>IF(OR(B21=Feiertage!$A$16,B21=Feiertage!$A$19),U21*Zuschläge_24_31/100,IF(AZ21&gt;0,AZ21*Feiertag_mit/100,IF(AX21&gt;0,AX21*Zuschläge_Sa/100,IF(AY21&gt;0,AY21*Zuschlag_So/100,0))))</f>
        <v>0</v>
      </c>
      <c r="BB21" s="82">
        <f>IF(AND(B21&lt;&gt;0,G21=Voreinstellung_Übersicht!$D$41),IF(EG=1,W21*Über_klein/100,IF(EG=2,W21*Über_groß/100,"Fehler")),0)</f>
        <v>0</v>
      </c>
      <c r="BC21" s="299">
        <f t="shared" ca="1" si="41"/>
        <v>0</v>
      </c>
      <c r="BD21" s="219">
        <f t="shared" ca="1" si="37"/>
        <v>1</v>
      </c>
      <c r="BE21" s="303">
        <f ca="1">IF(B21="","",INDIRECT(ADDRESS(MATCH(B21,Soll_AZ,1)+MATCH("Arbeitszeit 1 ab",Voreinstellung_Übersicht!B:B,0)-1,4,,,"Voreinstellung_Übersicht"),TRUE))</f>
        <v>1.6666666666666665</v>
      </c>
      <c r="BF21" s="1">
        <f t="shared" si="42"/>
        <v>0</v>
      </c>
    </row>
    <row r="22" spans="1:58" s="1" customFormat="1" ht="15" x14ac:dyDescent="0.3">
      <c r="A22" s="218">
        <f t="shared" si="0"/>
        <v>33</v>
      </c>
      <c r="B22" s="47">
        <f t="shared" si="38"/>
        <v>42230</v>
      </c>
      <c r="C22" s="219">
        <f t="shared" si="1"/>
        <v>1</v>
      </c>
      <c r="D22" s="220" t="str">
        <f t="shared" si="2"/>
        <v/>
      </c>
      <c r="E22" s="298" t="str">
        <f t="shared" si="3"/>
        <v/>
      </c>
      <c r="F22" s="87">
        <f t="shared" si="4"/>
        <v>42230</v>
      </c>
      <c r="G22" s="147"/>
      <c r="H22" s="74"/>
      <c r="I22" s="75"/>
      <c r="J22" s="221">
        <f t="shared" si="5"/>
        <v>0</v>
      </c>
      <c r="K22" s="76"/>
      <c r="L22" s="221">
        <f t="shared" si="43"/>
        <v>0</v>
      </c>
      <c r="M22" s="74"/>
      <c r="N22" s="75"/>
      <c r="O22" s="221">
        <f t="shared" si="6"/>
        <v>0</v>
      </c>
      <c r="P22" s="76"/>
      <c r="Q22" s="221">
        <f t="shared" si="44"/>
        <v>0</v>
      </c>
      <c r="R22" s="221">
        <f t="shared" si="45"/>
        <v>0</v>
      </c>
      <c r="S22" s="221">
        <f t="shared" si="7"/>
        <v>0</v>
      </c>
      <c r="T22" s="79">
        <f t="shared" si="8"/>
        <v>0</v>
      </c>
      <c r="U22" s="79">
        <f t="shared" si="39"/>
        <v>0</v>
      </c>
      <c r="V22" s="80">
        <f t="shared" ca="1" si="9"/>
        <v>0.33333333329999998</v>
      </c>
      <c r="W22" s="249" t="str">
        <f t="shared" ca="1" si="10"/>
        <v/>
      </c>
      <c r="X22" s="293"/>
      <c r="Y22" s="221">
        <f t="shared" si="11"/>
        <v>0</v>
      </c>
      <c r="Z22" s="299">
        <f ca="1">IF(B22="","",INDIRECT(ADDRESS(MATCH(B22,Soll_AZ,1)+MATCH("Arbeitszeit 1 ab",Voreinstellung_Übersicht!B:B,0)-1,WEEKDAY(B22,2)+4,,,"Voreinstellung_Übersicht"),TRUE))</f>
        <v>0.33333333333333331</v>
      </c>
      <c r="AA22" s="300">
        <f t="shared" ca="1" si="40"/>
        <v>0</v>
      </c>
      <c r="AB22" s="219">
        <f t="shared" si="12"/>
        <v>0</v>
      </c>
      <c r="AC22" s="219">
        <f t="shared" si="13"/>
        <v>0</v>
      </c>
      <c r="AD22" s="219">
        <f t="shared" si="14"/>
        <v>0</v>
      </c>
      <c r="AE22" s="219">
        <f t="shared" si="15"/>
        <v>0</v>
      </c>
      <c r="AF22" s="219">
        <f t="shared" si="16"/>
        <v>0</v>
      </c>
      <c r="AG22" s="219">
        <f t="shared" si="17"/>
        <v>0</v>
      </c>
      <c r="AH22" s="219">
        <f t="shared" si="18"/>
        <v>0</v>
      </c>
      <c r="AI22" s="219">
        <f t="shared" si="19"/>
        <v>0</v>
      </c>
      <c r="AJ22" s="219">
        <f t="shared" si="20"/>
        <v>0</v>
      </c>
      <c r="AK22" s="219">
        <f t="shared" si="21"/>
        <v>0</v>
      </c>
      <c r="AL22" s="219">
        <f t="shared" si="22"/>
        <v>0</v>
      </c>
      <c r="AM22" s="219">
        <f t="shared" si="23"/>
        <v>0</v>
      </c>
      <c r="AN22" s="301">
        <f t="shared" si="24"/>
        <v>0</v>
      </c>
      <c r="AO22" s="301">
        <f t="shared" si="25"/>
        <v>0</v>
      </c>
      <c r="AP22" s="301">
        <f t="shared" si="26"/>
        <v>0</v>
      </c>
      <c r="AQ22" s="301">
        <f t="shared" si="27"/>
        <v>0</v>
      </c>
      <c r="AR22" s="301">
        <f t="shared" si="28"/>
        <v>0</v>
      </c>
      <c r="AS22" s="301">
        <f t="shared" si="29"/>
        <v>0</v>
      </c>
      <c r="AT22" s="302">
        <f t="shared" si="30"/>
        <v>0</v>
      </c>
      <c r="AU22" s="302">
        <f t="shared" si="31"/>
        <v>0</v>
      </c>
      <c r="AV22" s="81">
        <f t="shared" si="32"/>
        <v>0</v>
      </c>
      <c r="AW22" s="82">
        <f t="shared" si="33"/>
        <v>0</v>
      </c>
      <c r="AX22" s="81">
        <f t="shared" si="34"/>
        <v>0</v>
      </c>
      <c r="AY22" s="83">
        <f t="shared" si="35"/>
        <v>0</v>
      </c>
      <c r="AZ22" s="83">
        <f t="shared" si="36"/>
        <v>0</v>
      </c>
      <c r="BA22" s="82">
        <f>IF(OR(B22=Feiertage!$A$16,B22=Feiertage!$A$19),U22*Zuschläge_24_31/100,IF(AZ22&gt;0,AZ22*Feiertag_mit/100,IF(AX22&gt;0,AX22*Zuschläge_Sa/100,IF(AY22&gt;0,AY22*Zuschlag_So/100,0))))</f>
        <v>0</v>
      </c>
      <c r="BB22" s="82">
        <f>IF(AND(B22&lt;&gt;0,G22=Voreinstellung_Übersicht!$D$41),IF(EG=1,W22*Über_klein/100,IF(EG=2,W22*Über_groß/100,"Fehler")),0)</f>
        <v>0</v>
      </c>
      <c r="BC22" s="299">
        <f t="shared" ca="1" si="41"/>
        <v>0</v>
      </c>
      <c r="BD22" s="219">
        <f t="shared" ca="1" si="37"/>
        <v>1</v>
      </c>
      <c r="BE22" s="303">
        <f ca="1">IF(B22="","",INDIRECT(ADDRESS(MATCH(B22,Soll_AZ,1)+MATCH("Arbeitszeit 1 ab",Voreinstellung_Übersicht!B:B,0)-1,4,,,"Voreinstellung_Übersicht"),TRUE))</f>
        <v>1.6666666666666665</v>
      </c>
      <c r="BF22" s="1">
        <f t="shared" si="42"/>
        <v>0</v>
      </c>
    </row>
    <row r="23" spans="1:58" s="1" customFormat="1" ht="15" x14ac:dyDescent="0.3">
      <c r="A23" s="218">
        <f t="shared" si="0"/>
        <v>33</v>
      </c>
      <c r="B23" s="47">
        <f t="shared" si="38"/>
        <v>42231</v>
      </c>
      <c r="C23" s="219">
        <f t="shared" si="1"/>
        <v>1</v>
      </c>
      <c r="D23" s="220" t="str">
        <f t="shared" si="2"/>
        <v/>
      </c>
      <c r="E23" s="298" t="str">
        <f t="shared" si="3"/>
        <v/>
      </c>
      <c r="F23" s="87">
        <f t="shared" si="4"/>
        <v>42231</v>
      </c>
      <c r="G23" s="147"/>
      <c r="H23" s="74"/>
      <c r="I23" s="75"/>
      <c r="J23" s="221">
        <f t="shared" si="5"/>
        <v>0</v>
      </c>
      <c r="K23" s="76"/>
      <c r="L23" s="221">
        <f t="shared" si="43"/>
        <v>0</v>
      </c>
      <c r="M23" s="74"/>
      <c r="N23" s="75"/>
      <c r="O23" s="221">
        <f t="shared" si="6"/>
        <v>0</v>
      </c>
      <c r="P23" s="76"/>
      <c r="Q23" s="221">
        <f t="shared" si="44"/>
        <v>0</v>
      </c>
      <c r="R23" s="221">
        <f t="shared" si="45"/>
        <v>0</v>
      </c>
      <c r="S23" s="221">
        <f t="shared" si="7"/>
        <v>0</v>
      </c>
      <c r="T23" s="79">
        <f t="shared" si="8"/>
        <v>0</v>
      </c>
      <c r="U23" s="79">
        <f t="shared" si="39"/>
        <v>0</v>
      </c>
      <c r="V23" s="80">
        <f t="shared" ca="1" si="9"/>
        <v>0.33333333329999998</v>
      </c>
      <c r="W23" s="249" t="str">
        <f t="shared" ca="1" si="10"/>
        <v/>
      </c>
      <c r="X23" s="293"/>
      <c r="Y23" s="221">
        <f t="shared" si="11"/>
        <v>0</v>
      </c>
      <c r="Z23" s="299">
        <f ca="1">IF(B23="","",INDIRECT(ADDRESS(MATCH(B23,Soll_AZ,1)+MATCH("Arbeitszeit 1 ab",Voreinstellung_Übersicht!B:B,0)-1,WEEKDAY(B23,2)+4,,,"Voreinstellung_Übersicht"),TRUE))</f>
        <v>0.33333333333333331</v>
      </c>
      <c r="AA23" s="300">
        <f t="shared" ca="1" si="40"/>
        <v>0</v>
      </c>
      <c r="AB23" s="219">
        <f t="shared" si="12"/>
        <v>0</v>
      </c>
      <c r="AC23" s="219">
        <f t="shared" si="13"/>
        <v>0</v>
      </c>
      <c r="AD23" s="219">
        <f t="shared" si="14"/>
        <v>0</v>
      </c>
      <c r="AE23" s="219">
        <f t="shared" si="15"/>
        <v>0</v>
      </c>
      <c r="AF23" s="219">
        <f t="shared" si="16"/>
        <v>0</v>
      </c>
      <c r="AG23" s="219">
        <f t="shared" si="17"/>
        <v>0</v>
      </c>
      <c r="AH23" s="219">
        <f t="shared" si="18"/>
        <v>0</v>
      </c>
      <c r="AI23" s="219">
        <f t="shared" si="19"/>
        <v>0</v>
      </c>
      <c r="AJ23" s="219">
        <f t="shared" si="20"/>
        <v>0</v>
      </c>
      <c r="AK23" s="219">
        <f t="shared" si="21"/>
        <v>0</v>
      </c>
      <c r="AL23" s="219">
        <f t="shared" si="22"/>
        <v>0</v>
      </c>
      <c r="AM23" s="219">
        <f t="shared" si="23"/>
        <v>0</v>
      </c>
      <c r="AN23" s="301">
        <f t="shared" si="24"/>
        <v>0</v>
      </c>
      <c r="AO23" s="301">
        <f t="shared" si="25"/>
        <v>0</v>
      </c>
      <c r="AP23" s="301">
        <f t="shared" si="26"/>
        <v>0</v>
      </c>
      <c r="AQ23" s="301">
        <f t="shared" si="27"/>
        <v>0</v>
      </c>
      <c r="AR23" s="301">
        <f t="shared" si="28"/>
        <v>0</v>
      </c>
      <c r="AS23" s="301">
        <f t="shared" si="29"/>
        <v>0</v>
      </c>
      <c r="AT23" s="302">
        <f t="shared" si="30"/>
        <v>0</v>
      </c>
      <c r="AU23" s="302">
        <f t="shared" si="31"/>
        <v>0</v>
      </c>
      <c r="AV23" s="81">
        <f t="shared" si="32"/>
        <v>0</v>
      </c>
      <c r="AW23" s="82">
        <f t="shared" si="33"/>
        <v>0</v>
      </c>
      <c r="AX23" s="81">
        <f t="shared" si="34"/>
        <v>0</v>
      </c>
      <c r="AY23" s="83">
        <f t="shared" si="35"/>
        <v>0</v>
      </c>
      <c r="AZ23" s="83">
        <f t="shared" si="36"/>
        <v>0</v>
      </c>
      <c r="BA23" s="82">
        <f>IF(OR(B23=Feiertage!$A$16,B23=Feiertage!$A$19),U23*Zuschläge_24_31/100,IF(AZ23&gt;0,AZ23*Feiertag_mit/100,IF(AX23&gt;0,AX23*Zuschläge_Sa/100,IF(AY23&gt;0,AY23*Zuschlag_So/100,0))))</f>
        <v>0</v>
      </c>
      <c r="BB23" s="82">
        <f>IF(AND(B23&lt;&gt;0,G23=Voreinstellung_Übersicht!$D$41),IF(EG=1,W23*Über_klein/100,IF(EG=2,W23*Über_groß/100,"Fehler")),0)</f>
        <v>0</v>
      </c>
      <c r="BC23" s="299">
        <f t="shared" ca="1" si="41"/>
        <v>0</v>
      </c>
      <c r="BD23" s="219">
        <f t="shared" ca="1" si="37"/>
        <v>1</v>
      </c>
      <c r="BE23" s="303">
        <f ca="1">IF(B23="","",INDIRECT(ADDRESS(MATCH(B23,Soll_AZ,1)+MATCH("Arbeitszeit 1 ab",Voreinstellung_Übersicht!B:B,0)-1,4,,,"Voreinstellung_Übersicht"),TRUE))</f>
        <v>1.6666666666666665</v>
      </c>
      <c r="BF23" s="1">
        <f t="shared" si="42"/>
        <v>0</v>
      </c>
    </row>
    <row r="24" spans="1:58" s="1" customFormat="1" ht="15" x14ac:dyDescent="0.3">
      <c r="A24" s="218">
        <f t="shared" si="0"/>
        <v>33</v>
      </c>
      <c r="B24" s="47">
        <f t="shared" si="38"/>
        <v>42232</v>
      </c>
      <c r="C24" s="219">
        <f t="shared" si="1"/>
        <v>0</v>
      </c>
      <c r="D24" s="220" t="str">
        <f t="shared" si="2"/>
        <v/>
      </c>
      <c r="E24" s="298" t="str">
        <f t="shared" si="3"/>
        <v/>
      </c>
      <c r="F24" s="87">
        <f t="shared" si="4"/>
        <v>42232</v>
      </c>
      <c r="G24" s="147"/>
      <c r="H24" s="74"/>
      <c r="I24" s="75"/>
      <c r="J24" s="221">
        <f t="shared" si="5"/>
        <v>0</v>
      </c>
      <c r="K24" s="76"/>
      <c r="L24" s="221">
        <f t="shared" si="43"/>
        <v>0</v>
      </c>
      <c r="M24" s="74"/>
      <c r="N24" s="75"/>
      <c r="O24" s="221">
        <f t="shared" si="6"/>
        <v>0</v>
      </c>
      <c r="P24" s="76"/>
      <c r="Q24" s="221">
        <f t="shared" si="44"/>
        <v>0</v>
      </c>
      <c r="R24" s="221">
        <f t="shared" si="45"/>
        <v>0</v>
      </c>
      <c r="S24" s="221">
        <f t="shared" si="7"/>
        <v>0</v>
      </c>
      <c r="T24" s="79">
        <f t="shared" si="8"/>
        <v>0</v>
      </c>
      <c r="U24" s="79">
        <f t="shared" si="39"/>
        <v>0</v>
      </c>
      <c r="V24" s="80">
        <f t="shared" ca="1" si="9"/>
        <v>0</v>
      </c>
      <c r="W24" s="249" t="str">
        <f t="shared" ca="1" si="10"/>
        <v/>
      </c>
      <c r="X24" s="293"/>
      <c r="Y24" s="221">
        <f t="shared" si="11"/>
        <v>0</v>
      </c>
      <c r="Z24" s="299">
        <f ca="1">IF(B24="","",INDIRECT(ADDRESS(MATCH(B24,Soll_AZ,1)+MATCH("Arbeitszeit 1 ab",Voreinstellung_Übersicht!B:B,0)-1,WEEKDAY(B24,2)+4,,,"Voreinstellung_Übersicht"),TRUE))</f>
        <v>0</v>
      </c>
      <c r="AA24" s="300">
        <f t="shared" ca="1" si="40"/>
        <v>0</v>
      </c>
      <c r="AB24" s="219">
        <f t="shared" si="12"/>
        <v>0</v>
      </c>
      <c r="AC24" s="219">
        <f t="shared" si="13"/>
        <v>0</v>
      </c>
      <c r="AD24" s="219">
        <f t="shared" si="14"/>
        <v>0</v>
      </c>
      <c r="AE24" s="219">
        <f t="shared" si="15"/>
        <v>0</v>
      </c>
      <c r="AF24" s="219">
        <f t="shared" si="16"/>
        <v>0</v>
      </c>
      <c r="AG24" s="219">
        <f t="shared" si="17"/>
        <v>0</v>
      </c>
      <c r="AH24" s="219">
        <f t="shared" si="18"/>
        <v>0</v>
      </c>
      <c r="AI24" s="219">
        <f t="shared" si="19"/>
        <v>0</v>
      </c>
      <c r="AJ24" s="219">
        <f t="shared" si="20"/>
        <v>0</v>
      </c>
      <c r="AK24" s="219">
        <f t="shared" si="21"/>
        <v>0</v>
      </c>
      <c r="AL24" s="219">
        <f t="shared" si="22"/>
        <v>0</v>
      </c>
      <c r="AM24" s="219">
        <f t="shared" si="23"/>
        <v>0</v>
      </c>
      <c r="AN24" s="301">
        <f t="shared" si="24"/>
        <v>0</v>
      </c>
      <c r="AO24" s="301">
        <f t="shared" si="25"/>
        <v>0</v>
      </c>
      <c r="AP24" s="301">
        <f t="shared" si="26"/>
        <v>0</v>
      </c>
      <c r="AQ24" s="301">
        <f t="shared" si="27"/>
        <v>0</v>
      </c>
      <c r="AR24" s="301">
        <f t="shared" si="28"/>
        <v>0</v>
      </c>
      <c r="AS24" s="301">
        <f t="shared" si="29"/>
        <v>0</v>
      </c>
      <c r="AT24" s="302">
        <f t="shared" si="30"/>
        <v>0</v>
      </c>
      <c r="AU24" s="302">
        <f t="shared" si="31"/>
        <v>0</v>
      </c>
      <c r="AV24" s="81">
        <f t="shared" si="32"/>
        <v>0</v>
      </c>
      <c r="AW24" s="82">
        <f t="shared" si="33"/>
        <v>0</v>
      </c>
      <c r="AX24" s="81">
        <f t="shared" si="34"/>
        <v>0</v>
      </c>
      <c r="AY24" s="83">
        <f t="shared" si="35"/>
        <v>0</v>
      </c>
      <c r="AZ24" s="83">
        <f t="shared" si="36"/>
        <v>0</v>
      </c>
      <c r="BA24" s="82">
        <f>IF(OR(B24=Feiertage!$A$16,B24=Feiertage!$A$19),U24*Zuschläge_24_31/100,IF(AZ24&gt;0,AZ24*Feiertag_mit/100,IF(AX24&gt;0,AX24*Zuschläge_Sa/100,IF(AY24&gt;0,AY24*Zuschlag_So/100,0))))</f>
        <v>0</v>
      </c>
      <c r="BB24" s="82">
        <f>IF(AND(B24&lt;&gt;0,G24=Voreinstellung_Übersicht!$D$41),IF(EG=1,W24*Über_klein/100,IF(EG=2,W24*Über_groß/100,"Fehler")),0)</f>
        <v>0</v>
      </c>
      <c r="BC24" s="299">
        <f t="shared" ca="1" si="41"/>
        <v>0</v>
      </c>
      <c r="BD24" s="219">
        <f t="shared" ca="1" si="37"/>
        <v>1</v>
      </c>
      <c r="BE24" s="303">
        <f ca="1">IF(B24="","",INDIRECT(ADDRESS(MATCH(B24,Soll_AZ,1)+MATCH("Arbeitszeit 1 ab",Voreinstellung_Übersicht!B:B,0)-1,4,,,"Voreinstellung_Übersicht"),TRUE))</f>
        <v>1.6666666666666665</v>
      </c>
      <c r="BF24" s="1">
        <f t="shared" si="42"/>
        <v>0</v>
      </c>
    </row>
    <row r="25" spans="1:58" s="1" customFormat="1" ht="15" x14ac:dyDescent="0.3">
      <c r="A25" s="218">
        <f t="shared" si="0"/>
        <v>34</v>
      </c>
      <c r="B25" s="47">
        <f t="shared" si="38"/>
        <v>42233</v>
      </c>
      <c r="C25" s="219">
        <f t="shared" si="1"/>
        <v>0</v>
      </c>
      <c r="D25" s="220" t="str">
        <f t="shared" si="2"/>
        <v/>
      </c>
      <c r="E25" s="298" t="str">
        <f t="shared" si="3"/>
        <v/>
      </c>
      <c r="F25" s="87">
        <f t="shared" si="4"/>
        <v>42233</v>
      </c>
      <c r="G25" s="147"/>
      <c r="H25" s="74"/>
      <c r="I25" s="75"/>
      <c r="J25" s="221">
        <f t="shared" si="5"/>
        <v>0</v>
      </c>
      <c r="K25" s="76"/>
      <c r="L25" s="221">
        <f t="shared" si="43"/>
        <v>0</v>
      </c>
      <c r="M25" s="74"/>
      <c r="N25" s="75"/>
      <c r="O25" s="221">
        <f t="shared" si="6"/>
        <v>0</v>
      </c>
      <c r="P25" s="76"/>
      <c r="Q25" s="221">
        <f t="shared" si="44"/>
        <v>0</v>
      </c>
      <c r="R25" s="221">
        <f t="shared" si="45"/>
        <v>0</v>
      </c>
      <c r="S25" s="221">
        <f t="shared" si="7"/>
        <v>0</v>
      </c>
      <c r="T25" s="79">
        <f t="shared" si="8"/>
        <v>0</v>
      </c>
      <c r="U25" s="79">
        <f t="shared" si="39"/>
        <v>0</v>
      </c>
      <c r="V25" s="80">
        <f t="shared" ca="1" si="9"/>
        <v>0</v>
      </c>
      <c r="W25" s="249" t="str">
        <f t="shared" ca="1" si="10"/>
        <v/>
      </c>
      <c r="X25" s="293"/>
      <c r="Y25" s="221">
        <f t="shared" si="11"/>
        <v>0</v>
      </c>
      <c r="Z25" s="299">
        <f ca="1">IF(B25="","",INDIRECT(ADDRESS(MATCH(B25,Soll_AZ,1)+MATCH("Arbeitszeit 1 ab",Voreinstellung_Übersicht!B:B,0)-1,WEEKDAY(B25,2)+4,,,"Voreinstellung_Übersicht"),TRUE))</f>
        <v>0</v>
      </c>
      <c r="AA25" s="300">
        <f t="shared" ca="1" si="40"/>
        <v>0</v>
      </c>
      <c r="AB25" s="219">
        <f t="shared" si="12"/>
        <v>0</v>
      </c>
      <c r="AC25" s="219">
        <f t="shared" si="13"/>
        <v>0</v>
      </c>
      <c r="AD25" s="219">
        <f t="shared" si="14"/>
        <v>0</v>
      </c>
      <c r="AE25" s="219">
        <f t="shared" si="15"/>
        <v>0</v>
      </c>
      <c r="AF25" s="219">
        <f t="shared" si="16"/>
        <v>0</v>
      </c>
      <c r="AG25" s="219">
        <f t="shared" si="17"/>
        <v>0</v>
      </c>
      <c r="AH25" s="219">
        <f t="shared" si="18"/>
        <v>0</v>
      </c>
      <c r="AI25" s="219">
        <f t="shared" si="19"/>
        <v>0</v>
      </c>
      <c r="AJ25" s="219">
        <f t="shared" si="20"/>
        <v>0</v>
      </c>
      <c r="AK25" s="219">
        <f t="shared" si="21"/>
        <v>0</v>
      </c>
      <c r="AL25" s="219">
        <f t="shared" si="22"/>
        <v>0</v>
      </c>
      <c r="AM25" s="219">
        <f t="shared" si="23"/>
        <v>0</v>
      </c>
      <c r="AN25" s="301">
        <f t="shared" si="24"/>
        <v>0</v>
      </c>
      <c r="AO25" s="301">
        <f t="shared" si="25"/>
        <v>0</v>
      </c>
      <c r="AP25" s="301">
        <f t="shared" si="26"/>
        <v>0</v>
      </c>
      <c r="AQ25" s="301">
        <f t="shared" si="27"/>
        <v>0</v>
      </c>
      <c r="AR25" s="301">
        <f t="shared" si="28"/>
        <v>0</v>
      </c>
      <c r="AS25" s="301">
        <f t="shared" si="29"/>
        <v>0</v>
      </c>
      <c r="AT25" s="302">
        <f t="shared" si="30"/>
        <v>0</v>
      </c>
      <c r="AU25" s="302">
        <f t="shared" si="31"/>
        <v>0</v>
      </c>
      <c r="AV25" s="81">
        <f t="shared" si="32"/>
        <v>0</v>
      </c>
      <c r="AW25" s="82">
        <f t="shared" si="33"/>
        <v>0</v>
      </c>
      <c r="AX25" s="81">
        <f t="shared" si="34"/>
        <v>0</v>
      </c>
      <c r="AY25" s="83">
        <f t="shared" si="35"/>
        <v>0</v>
      </c>
      <c r="AZ25" s="83">
        <f t="shared" si="36"/>
        <v>0</v>
      </c>
      <c r="BA25" s="82">
        <f>IF(OR(B25=Feiertage!$A$16,B25=Feiertage!$A$19),U25*Zuschläge_24_31/100,IF(AZ25&gt;0,AZ25*Feiertag_mit/100,IF(AX25&gt;0,AX25*Zuschläge_Sa/100,IF(AY25&gt;0,AY25*Zuschlag_So/100,0))))</f>
        <v>0</v>
      </c>
      <c r="BB25" s="82">
        <f>IF(AND(B25&lt;&gt;0,G25=Voreinstellung_Übersicht!$D$41),IF(EG=1,W25*Über_klein/100,IF(EG=2,W25*Über_groß/100,"Fehler")),0)</f>
        <v>0</v>
      </c>
      <c r="BC25" s="299">
        <f t="shared" ca="1" si="41"/>
        <v>0</v>
      </c>
      <c r="BD25" s="219">
        <f t="shared" ca="1" si="37"/>
        <v>1</v>
      </c>
      <c r="BE25" s="303">
        <f ca="1">IF(B25="","",INDIRECT(ADDRESS(MATCH(B25,Soll_AZ,1)+MATCH("Arbeitszeit 1 ab",Voreinstellung_Übersicht!B:B,0)-1,4,,,"Voreinstellung_Übersicht"),TRUE))</f>
        <v>1.6666666666666665</v>
      </c>
      <c r="BF25" s="1">
        <f t="shared" si="42"/>
        <v>0</v>
      </c>
    </row>
    <row r="26" spans="1:58" s="1" customFormat="1" ht="15" x14ac:dyDescent="0.3">
      <c r="A26" s="218">
        <f t="shared" si="0"/>
        <v>34</v>
      </c>
      <c r="B26" s="47">
        <f t="shared" si="38"/>
        <v>42234</v>
      </c>
      <c r="C26" s="219">
        <f t="shared" si="1"/>
        <v>1</v>
      </c>
      <c r="D26" s="220" t="str">
        <f t="shared" si="2"/>
        <v/>
      </c>
      <c r="E26" s="298" t="str">
        <f t="shared" si="3"/>
        <v/>
      </c>
      <c r="F26" s="87">
        <f t="shared" si="4"/>
        <v>42234</v>
      </c>
      <c r="G26" s="147"/>
      <c r="H26" s="74"/>
      <c r="I26" s="75"/>
      <c r="J26" s="221">
        <f t="shared" si="5"/>
        <v>0</v>
      </c>
      <c r="K26" s="76"/>
      <c r="L26" s="221">
        <f t="shared" si="43"/>
        <v>0</v>
      </c>
      <c r="M26" s="74"/>
      <c r="N26" s="75"/>
      <c r="O26" s="221">
        <f t="shared" si="6"/>
        <v>0</v>
      </c>
      <c r="P26" s="76"/>
      <c r="Q26" s="221">
        <f t="shared" si="44"/>
        <v>0</v>
      </c>
      <c r="R26" s="221">
        <f t="shared" si="45"/>
        <v>0</v>
      </c>
      <c r="S26" s="221">
        <f t="shared" si="7"/>
        <v>0</v>
      </c>
      <c r="T26" s="79">
        <f t="shared" si="8"/>
        <v>0</v>
      </c>
      <c r="U26" s="79">
        <f t="shared" si="39"/>
        <v>0</v>
      </c>
      <c r="V26" s="80">
        <f t="shared" ca="1" si="9"/>
        <v>0.33333333329999998</v>
      </c>
      <c r="W26" s="249" t="str">
        <f t="shared" ca="1" si="10"/>
        <v/>
      </c>
      <c r="X26" s="293"/>
      <c r="Y26" s="221">
        <f t="shared" si="11"/>
        <v>0</v>
      </c>
      <c r="Z26" s="299">
        <f ca="1">IF(B26="","",INDIRECT(ADDRESS(MATCH(B26,Soll_AZ,1)+MATCH("Arbeitszeit 1 ab",Voreinstellung_Übersicht!B:B,0)-1,WEEKDAY(B26,2)+4,,,"Voreinstellung_Übersicht"),TRUE))</f>
        <v>0.33333333333333331</v>
      </c>
      <c r="AA26" s="300">
        <f t="shared" ca="1" si="40"/>
        <v>0</v>
      </c>
      <c r="AB26" s="219">
        <f t="shared" si="12"/>
        <v>0</v>
      </c>
      <c r="AC26" s="219">
        <f t="shared" si="13"/>
        <v>0</v>
      </c>
      <c r="AD26" s="219">
        <f t="shared" si="14"/>
        <v>0</v>
      </c>
      <c r="AE26" s="219">
        <f t="shared" si="15"/>
        <v>0</v>
      </c>
      <c r="AF26" s="219">
        <f t="shared" si="16"/>
        <v>0</v>
      </c>
      <c r="AG26" s="219">
        <f t="shared" si="17"/>
        <v>0</v>
      </c>
      <c r="AH26" s="219">
        <f t="shared" si="18"/>
        <v>0</v>
      </c>
      <c r="AI26" s="219">
        <f t="shared" si="19"/>
        <v>0</v>
      </c>
      <c r="AJ26" s="219">
        <f t="shared" si="20"/>
        <v>0</v>
      </c>
      <c r="AK26" s="219">
        <f t="shared" si="21"/>
        <v>0</v>
      </c>
      <c r="AL26" s="219">
        <f t="shared" si="22"/>
        <v>0</v>
      </c>
      <c r="AM26" s="219">
        <f t="shared" si="23"/>
        <v>0</v>
      </c>
      <c r="AN26" s="301">
        <f t="shared" si="24"/>
        <v>0</v>
      </c>
      <c r="AO26" s="301">
        <f t="shared" si="25"/>
        <v>0</v>
      </c>
      <c r="AP26" s="301">
        <f t="shared" si="26"/>
        <v>0</v>
      </c>
      <c r="AQ26" s="301">
        <f t="shared" si="27"/>
        <v>0</v>
      </c>
      <c r="AR26" s="301">
        <f t="shared" si="28"/>
        <v>0</v>
      </c>
      <c r="AS26" s="301">
        <f t="shared" si="29"/>
        <v>0</v>
      </c>
      <c r="AT26" s="302">
        <f t="shared" si="30"/>
        <v>0</v>
      </c>
      <c r="AU26" s="302">
        <f t="shared" si="31"/>
        <v>0</v>
      </c>
      <c r="AV26" s="81">
        <f t="shared" si="32"/>
        <v>0</v>
      </c>
      <c r="AW26" s="82">
        <f t="shared" si="33"/>
        <v>0</v>
      </c>
      <c r="AX26" s="81">
        <f t="shared" si="34"/>
        <v>0</v>
      </c>
      <c r="AY26" s="83">
        <f t="shared" si="35"/>
        <v>0</v>
      </c>
      <c r="AZ26" s="83">
        <f t="shared" si="36"/>
        <v>0</v>
      </c>
      <c r="BA26" s="82">
        <f>IF(OR(B26=Feiertage!$A$16,B26=Feiertage!$A$19),U26*Zuschläge_24_31/100,IF(AZ26&gt;0,AZ26*Feiertag_mit/100,IF(AX26&gt;0,AX26*Zuschläge_Sa/100,IF(AY26&gt;0,AY26*Zuschlag_So/100,0))))</f>
        <v>0</v>
      </c>
      <c r="BB26" s="82">
        <f>IF(AND(B26&lt;&gt;0,G26=Voreinstellung_Übersicht!$D$41),IF(EG=1,W26*Über_klein/100,IF(EG=2,W26*Über_groß/100,"Fehler")),0)</f>
        <v>0</v>
      </c>
      <c r="BC26" s="299">
        <f t="shared" ca="1" si="41"/>
        <v>0</v>
      </c>
      <c r="BD26" s="219">
        <f t="shared" ca="1" si="37"/>
        <v>1</v>
      </c>
      <c r="BE26" s="303">
        <f ca="1">IF(B26="","",INDIRECT(ADDRESS(MATCH(B26,Soll_AZ,1)+MATCH("Arbeitszeit 1 ab",Voreinstellung_Übersicht!B:B,0)-1,4,,,"Voreinstellung_Übersicht"),TRUE))</f>
        <v>1.6666666666666665</v>
      </c>
      <c r="BF26" s="1">
        <f t="shared" si="42"/>
        <v>0</v>
      </c>
    </row>
    <row r="27" spans="1:58" s="1" customFormat="1" ht="15" x14ac:dyDescent="0.3">
      <c r="A27" s="218">
        <f t="shared" si="0"/>
        <v>34</v>
      </c>
      <c r="B27" s="47">
        <f t="shared" si="38"/>
        <v>42235</v>
      </c>
      <c r="C27" s="219">
        <f t="shared" si="1"/>
        <v>1</v>
      </c>
      <c r="D27" s="220" t="str">
        <f t="shared" si="2"/>
        <v/>
      </c>
      <c r="E27" s="298" t="str">
        <f t="shared" si="3"/>
        <v/>
      </c>
      <c r="F27" s="87">
        <f t="shared" si="4"/>
        <v>42235</v>
      </c>
      <c r="G27" s="147"/>
      <c r="H27" s="74"/>
      <c r="I27" s="75"/>
      <c r="J27" s="221">
        <f t="shared" si="5"/>
        <v>0</v>
      </c>
      <c r="K27" s="76"/>
      <c r="L27" s="221">
        <f t="shared" si="43"/>
        <v>0</v>
      </c>
      <c r="M27" s="74"/>
      <c r="N27" s="75"/>
      <c r="O27" s="221">
        <f t="shared" si="6"/>
        <v>0</v>
      </c>
      <c r="P27" s="76"/>
      <c r="Q27" s="221">
        <f t="shared" si="44"/>
        <v>0</v>
      </c>
      <c r="R27" s="221">
        <f t="shared" si="45"/>
        <v>0</v>
      </c>
      <c r="S27" s="221">
        <f t="shared" si="7"/>
        <v>0</v>
      </c>
      <c r="T27" s="79">
        <f t="shared" si="8"/>
        <v>0</v>
      </c>
      <c r="U27" s="79">
        <f t="shared" si="39"/>
        <v>0</v>
      </c>
      <c r="V27" s="80">
        <f t="shared" ca="1" si="9"/>
        <v>0.33333333329999998</v>
      </c>
      <c r="W27" s="249" t="str">
        <f t="shared" ca="1" si="10"/>
        <v/>
      </c>
      <c r="X27" s="293"/>
      <c r="Y27" s="221">
        <f t="shared" si="11"/>
        <v>0</v>
      </c>
      <c r="Z27" s="299">
        <f ca="1">IF(B27="","",INDIRECT(ADDRESS(MATCH(B27,Soll_AZ,1)+MATCH("Arbeitszeit 1 ab",Voreinstellung_Übersicht!B:B,0)-1,WEEKDAY(B27,2)+4,,,"Voreinstellung_Übersicht"),TRUE))</f>
        <v>0.33333333333333331</v>
      </c>
      <c r="AA27" s="300">
        <f t="shared" ca="1" si="40"/>
        <v>0</v>
      </c>
      <c r="AB27" s="219">
        <f t="shared" si="12"/>
        <v>0</v>
      </c>
      <c r="AC27" s="219">
        <f t="shared" si="13"/>
        <v>0</v>
      </c>
      <c r="AD27" s="219">
        <f t="shared" si="14"/>
        <v>0</v>
      </c>
      <c r="AE27" s="219">
        <f t="shared" si="15"/>
        <v>0</v>
      </c>
      <c r="AF27" s="219">
        <f t="shared" si="16"/>
        <v>0</v>
      </c>
      <c r="AG27" s="219">
        <f t="shared" si="17"/>
        <v>0</v>
      </c>
      <c r="AH27" s="219">
        <f t="shared" si="18"/>
        <v>0</v>
      </c>
      <c r="AI27" s="219">
        <f t="shared" si="19"/>
        <v>0</v>
      </c>
      <c r="AJ27" s="219">
        <f t="shared" si="20"/>
        <v>0</v>
      </c>
      <c r="AK27" s="219">
        <f t="shared" si="21"/>
        <v>0</v>
      </c>
      <c r="AL27" s="219">
        <f t="shared" si="22"/>
        <v>0</v>
      </c>
      <c r="AM27" s="219">
        <f t="shared" si="23"/>
        <v>0</v>
      </c>
      <c r="AN27" s="301">
        <f t="shared" si="24"/>
        <v>0</v>
      </c>
      <c r="AO27" s="301">
        <f t="shared" si="25"/>
        <v>0</v>
      </c>
      <c r="AP27" s="301">
        <f t="shared" si="26"/>
        <v>0</v>
      </c>
      <c r="AQ27" s="301">
        <f t="shared" si="27"/>
        <v>0</v>
      </c>
      <c r="AR27" s="301">
        <f t="shared" si="28"/>
        <v>0</v>
      </c>
      <c r="AS27" s="301">
        <f t="shared" si="29"/>
        <v>0</v>
      </c>
      <c r="AT27" s="302">
        <f t="shared" si="30"/>
        <v>0</v>
      </c>
      <c r="AU27" s="302">
        <f t="shared" si="31"/>
        <v>0</v>
      </c>
      <c r="AV27" s="81">
        <f t="shared" si="32"/>
        <v>0</v>
      </c>
      <c r="AW27" s="82">
        <f t="shared" si="33"/>
        <v>0</v>
      </c>
      <c r="AX27" s="81">
        <f t="shared" si="34"/>
        <v>0</v>
      </c>
      <c r="AY27" s="83">
        <f t="shared" si="35"/>
        <v>0</v>
      </c>
      <c r="AZ27" s="83">
        <f t="shared" si="36"/>
        <v>0</v>
      </c>
      <c r="BA27" s="82">
        <f>IF(OR(B27=Feiertage!$A$16,B27=Feiertage!$A$19),U27*Zuschläge_24_31/100,IF(AZ27&gt;0,AZ27*Feiertag_mit/100,IF(AX27&gt;0,AX27*Zuschläge_Sa/100,IF(AY27&gt;0,AY27*Zuschlag_So/100,0))))</f>
        <v>0</v>
      </c>
      <c r="BB27" s="82">
        <f>IF(AND(B27&lt;&gt;0,G27=Voreinstellung_Übersicht!$D$41),IF(EG=1,W27*Über_klein/100,IF(EG=2,W27*Über_groß/100,"Fehler")),0)</f>
        <v>0</v>
      </c>
      <c r="BC27" s="299">
        <f t="shared" ca="1" si="41"/>
        <v>0</v>
      </c>
      <c r="BD27" s="219">
        <f t="shared" ca="1" si="37"/>
        <v>1</v>
      </c>
      <c r="BE27" s="303">
        <f ca="1">IF(B27="","",INDIRECT(ADDRESS(MATCH(B27,Soll_AZ,1)+MATCH("Arbeitszeit 1 ab",Voreinstellung_Übersicht!B:B,0)-1,4,,,"Voreinstellung_Übersicht"),TRUE))</f>
        <v>1.6666666666666665</v>
      </c>
      <c r="BF27" s="1">
        <f t="shared" si="42"/>
        <v>0</v>
      </c>
    </row>
    <row r="28" spans="1:58" s="1" customFormat="1" ht="15" x14ac:dyDescent="0.3">
      <c r="A28" s="218">
        <f t="shared" si="0"/>
        <v>34</v>
      </c>
      <c r="B28" s="47">
        <f t="shared" si="38"/>
        <v>42236</v>
      </c>
      <c r="C28" s="219">
        <f t="shared" si="1"/>
        <v>1</v>
      </c>
      <c r="D28" s="220" t="str">
        <f t="shared" si="2"/>
        <v/>
      </c>
      <c r="E28" s="298" t="str">
        <f t="shared" si="3"/>
        <v/>
      </c>
      <c r="F28" s="87">
        <f t="shared" si="4"/>
        <v>42236</v>
      </c>
      <c r="G28" s="147"/>
      <c r="H28" s="74"/>
      <c r="I28" s="75"/>
      <c r="J28" s="221">
        <f t="shared" si="5"/>
        <v>0</v>
      </c>
      <c r="K28" s="76"/>
      <c r="L28" s="221">
        <f t="shared" si="43"/>
        <v>0</v>
      </c>
      <c r="M28" s="74"/>
      <c r="N28" s="75"/>
      <c r="O28" s="221">
        <f t="shared" si="6"/>
        <v>0</v>
      </c>
      <c r="P28" s="76"/>
      <c r="Q28" s="221">
        <f t="shared" si="44"/>
        <v>0</v>
      </c>
      <c r="R28" s="221">
        <f t="shared" si="45"/>
        <v>0</v>
      </c>
      <c r="S28" s="221">
        <f t="shared" si="7"/>
        <v>0</v>
      </c>
      <c r="T28" s="79">
        <f t="shared" si="8"/>
        <v>0</v>
      </c>
      <c r="U28" s="79">
        <f t="shared" si="39"/>
        <v>0</v>
      </c>
      <c r="V28" s="80">
        <f t="shared" ca="1" si="9"/>
        <v>0.33333333329999998</v>
      </c>
      <c r="W28" s="249" t="str">
        <f t="shared" ca="1" si="10"/>
        <v/>
      </c>
      <c r="X28" s="293"/>
      <c r="Y28" s="221">
        <f t="shared" si="11"/>
        <v>0</v>
      </c>
      <c r="Z28" s="299">
        <f ca="1">IF(B28="","",INDIRECT(ADDRESS(MATCH(B28,Soll_AZ,1)+MATCH("Arbeitszeit 1 ab",Voreinstellung_Übersicht!B:B,0)-1,WEEKDAY(B28,2)+4,,,"Voreinstellung_Übersicht"),TRUE))</f>
        <v>0.33333333333333331</v>
      </c>
      <c r="AA28" s="300">
        <f t="shared" ca="1" si="40"/>
        <v>0</v>
      </c>
      <c r="AB28" s="219">
        <f t="shared" si="12"/>
        <v>0</v>
      </c>
      <c r="AC28" s="219">
        <f t="shared" si="13"/>
        <v>0</v>
      </c>
      <c r="AD28" s="219">
        <f t="shared" si="14"/>
        <v>0</v>
      </c>
      <c r="AE28" s="219">
        <f t="shared" si="15"/>
        <v>0</v>
      </c>
      <c r="AF28" s="219">
        <f t="shared" si="16"/>
        <v>0</v>
      </c>
      <c r="AG28" s="219">
        <f t="shared" si="17"/>
        <v>0</v>
      </c>
      <c r="AH28" s="219">
        <f t="shared" si="18"/>
        <v>0</v>
      </c>
      <c r="AI28" s="219">
        <f t="shared" si="19"/>
        <v>0</v>
      </c>
      <c r="AJ28" s="219">
        <f t="shared" si="20"/>
        <v>0</v>
      </c>
      <c r="AK28" s="219">
        <f t="shared" si="21"/>
        <v>0</v>
      </c>
      <c r="AL28" s="219">
        <f t="shared" si="22"/>
        <v>0</v>
      </c>
      <c r="AM28" s="219">
        <f t="shared" si="23"/>
        <v>0</v>
      </c>
      <c r="AN28" s="301">
        <f t="shared" si="24"/>
        <v>0</v>
      </c>
      <c r="AO28" s="301">
        <f t="shared" si="25"/>
        <v>0</v>
      </c>
      <c r="AP28" s="301">
        <f t="shared" si="26"/>
        <v>0</v>
      </c>
      <c r="AQ28" s="301">
        <f t="shared" si="27"/>
        <v>0</v>
      </c>
      <c r="AR28" s="301">
        <f t="shared" si="28"/>
        <v>0</v>
      </c>
      <c r="AS28" s="301">
        <f t="shared" si="29"/>
        <v>0</v>
      </c>
      <c r="AT28" s="302">
        <f t="shared" si="30"/>
        <v>0</v>
      </c>
      <c r="AU28" s="302">
        <f t="shared" si="31"/>
        <v>0</v>
      </c>
      <c r="AV28" s="81">
        <f t="shared" si="32"/>
        <v>0</v>
      </c>
      <c r="AW28" s="82">
        <f t="shared" si="33"/>
        <v>0</v>
      </c>
      <c r="AX28" s="81">
        <f t="shared" si="34"/>
        <v>0</v>
      </c>
      <c r="AY28" s="83">
        <f t="shared" si="35"/>
        <v>0</v>
      </c>
      <c r="AZ28" s="83">
        <f t="shared" si="36"/>
        <v>0</v>
      </c>
      <c r="BA28" s="82">
        <f>IF(OR(B28=Feiertage!$A$16,B28=Feiertage!$A$19),U28*Zuschläge_24_31/100,IF(AZ28&gt;0,AZ28*Feiertag_mit/100,IF(AX28&gt;0,AX28*Zuschläge_Sa/100,IF(AY28&gt;0,AY28*Zuschlag_So/100,0))))</f>
        <v>0</v>
      </c>
      <c r="BB28" s="82">
        <f>IF(AND(B28&lt;&gt;0,G28=Voreinstellung_Übersicht!$D$41),IF(EG=1,W28*Über_klein/100,IF(EG=2,W28*Über_groß/100,"Fehler")),0)</f>
        <v>0</v>
      </c>
      <c r="BC28" s="299">
        <f t="shared" ca="1" si="41"/>
        <v>0</v>
      </c>
      <c r="BD28" s="219">
        <f t="shared" ca="1" si="37"/>
        <v>1</v>
      </c>
      <c r="BE28" s="303">
        <f ca="1">IF(B28="","",INDIRECT(ADDRESS(MATCH(B28,Soll_AZ,1)+MATCH("Arbeitszeit 1 ab",Voreinstellung_Übersicht!B:B,0)-1,4,,,"Voreinstellung_Übersicht"),TRUE))</f>
        <v>1.6666666666666665</v>
      </c>
      <c r="BF28" s="1">
        <f t="shared" si="42"/>
        <v>0</v>
      </c>
    </row>
    <row r="29" spans="1:58" s="1" customFormat="1" ht="15" x14ac:dyDescent="0.3">
      <c r="A29" s="218">
        <f t="shared" si="0"/>
        <v>34</v>
      </c>
      <c r="B29" s="47">
        <f t="shared" si="38"/>
        <v>42237</v>
      </c>
      <c r="C29" s="219">
        <f t="shared" si="1"/>
        <v>1</v>
      </c>
      <c r="D29" s="220" t="str">
        <f t="shared" si="2"/>
        <v/>
      </c>
      <c r="E29" s="298" t="str">
        <f t="shared" si="3"/>
        <v/>
      </c>
      <c r="F29" s="87">
        <f t="shared" si="4"/>
        <v>42237</v>
      </c>
      <c r="G29" s="147"/>
      <c r="H29" s="74"/>
      <c r="I29" s="75"/>
      <c r="J29" s="221">
        <f t="shared" si="5"/>
        <v>0</v>
      </c>
      <c r="K29" s="76"/>
      <c r="L29" s="221">
        <f t="shared" si="43"/>
        <v>0</v>
      </c>
      <c r="M29" s="74"/>
      <c r="N29" s="75"/>
      <c r="O29" s="221">
        <f t="shared" si="6"/>
        <v>0</v>
      </c>
      <c r="P29" s="76"/>
      <c r="Q29" s="221">
        <f t="shared" si="44"/>
        <v>0</v>
      </c>
      <c r="R29" s="221">
        <f t="shared" si="45"/>
        <v>0</v>
      </c>
      <c r="S29" s="221">
        <f t="shared" si="7"/>
        <v>0</v>
      </c>
      <c r="T29" s="79">
        <f t="shared" si="8"/>
        <v>0</v>
      </c>
      <c r="U29" s="79">
        <f t="shared" si="39"/>
        <v>0</v>
      </c>
      <c r="V29" s="80">
        <f t="shared" ca="1" si="9"/>
        <v>0.33333333329999998</v>
      </c>
      <c r="W29" s="249" t="str">
        <f t="shared" ca="1" si="10"/>
        <v/>
      </c>
      <c r="X29" s="293"/>
      <c r="Y29" s="221">
        <f t="shared" si="11"/>
        <v>0</v>
      </c>
      <c r="Z29" s="299">
        <f ca="1">IF(B29="","",INDIRECT(ADDRESS(MATCH(B29,Soll_AZ,1)+MATCH("Arbeitszeit 1 ab",Voreinstellung_Übersicht!B:B,0)-1,WEEKDAY(B29,2)+4,,,"Voreinstellung_Übersicht"),TRUE))</f>
        <v>0.33333333333333331</v>
      </c>
      <c r="AA29" s="300">
        <f t="shared" ca="1" si="40"/>
        <v>0</v>
      </c>
      <c r="AB29" s="219">
        <f t="shared" si="12"/>
        <v>0</v>
      </c>
      <c r="AC29" s="219">
        <f t="shared" si="13"/>
        <v>0</v>
      </c>
      <c r="AD29" s="219">
        <f t="shared" si="14"/>
        <v>0</v>
      </c>
      <c r="AE29" s="219">
        <f t="shared" si="15"/>
        <v>0</v>
      </c>
      <c r="AF29" s="219">
        <f t="shared" si="16"/>
        <v>0</v>
      </c>
      <c r="AG29" s="219">
        <f t="shared" si="17"/>
        <v>0</v>
      </c>
      <c r="AH29" s="219">
        <f t="shared" si="18"/>
        <v>0</v>
      </c>
      <c r="AI29" s="219">
        <f t="shared" si="19"/>
        <v>0</v>
      </c>
      <c r="AJ29" s="219">
        <f t="shared" si="20"/>
        <v>0</v>
      </c>
      <c r="AK29" s="219">
        <f t="shared" si="21"/>
        <v>0</v>
      </c>
      <c r="AL29" s="219">
        <f t="shared" si="22"/>
        <v>0</v>
      </c>
      <c r="AM29" s="219">
        <f t="shared" si="23"/>
        <v>0</v>
      </c>
      <c r="AN29" s="301">
        <f t="shared" si="24"/>
        <v>0</v>
      </c>
      <c r="AO29" s="301">
        <f t="shared" si="25"/>
        <v>0</v>
      </c>
      <c r="AP29" s="301">
        <f t="shared" si="26"/>
        <v>0</v>
      </c>
      <c r="AQ29" s="301">
        <f t="shared" si="27"/>
        <v>0</v>
      </c>
      <c r="AR29" s="301">
        <f t="shared" si="28"/>
        <v>0</v>
      </c>
      <c r="AS29" s="301">
        <f t="shared" si="29"/>
        <v>0</v>
      </c>
      <c r="AT29" s="302">
        <f t="shared" si="30"/>
        <v>0</v>
      </c>
      <c r="AU29" s="302">
        <f t="shared" si="31"/>
        <v>0</v>
      </c>
      <c r="AV29" s="81">
        <f t="shared" si="32"/>
        <v>0</v>
      </c>
      <c r="AW29" s="82">
        <f t="shared" si="33"/>
        <v>0</v>
      </c>
      <c r="AX29" s="81">
        <f t="shared" si="34"/>
        <v>0</v>
      </c>
      <c r="AY29" s="83">
        <f t="shared" si="35"/>
        <v>0</v>
      </c>
      <c r="AZ29" s="83">
        <f t="shared" si="36"/>
        <v>0</v>
      </c>
      <c r="BA29" s="82">
        <f>IF(OR(B29=Feiertage!$A$16,B29=Feiertage!$A$19),U29*Zuschläge_24_31/100,IF(AZ29&gt;0,AZ29*Feiertag_mit/100,IF(AX29&gt;0,AX29*Zuschläge_Sa/100,IF(AY29&gt;0,AY29*Zuschlag_So/100,0))))</f>
        <v>0</v>
      </c>
      <c r="BB29" s="82">
        <f>IF(AND(B29&lt;&gt;0,G29=Voreinstellung_Übersicht!$D$41),IF(EG=1,W29*Über_klein/100,IF(EG=2,W29*Über_groß/100,"Fehler")),0)</f>
        <v>0</v>
      </c>
      <c r="BC29" s="299">
        <f t="shared" ca="1" si="41"/>
        <v>0</v>
      </c>
      <c r="BD29" s="219">
        <f t="shared" ca="1" si="37"/>
        <v>1</v>
      </c>
      <c r="BE29" s="303">
        <f ca="1">IF(B29="","",INDIRECT(ADDRESS(MATCH(B29,Soll_AZ,1)+MATCH("Arbeitszeit 1 ab",Voreinstellung_Übersicht!B:B,0)-1,4,,,"Voreinstellung_Übersicht"),TRUE))</f>
        <v>1.6666666666666665</v>
      </c>
      <c r="BF29" s="1">
        <f t="shared" si="42"/>
        <v>0</v>
      </c>
    </row>
    <row r="30" spans="1:58" s="1" customFormat="1" ht="15" x14ac:dyDescent="0.3">
      <c r="A30" s="218">
        <f t="shared" si="0"/>
        <v>34</v>
      </c>
      <c r="B30" s="47">
        <f t="shared" si="38"/>
        <v>42238</v>
      </c>
      <c r="C30" s="219">
        <f t="shared" si="1"/>
        <v>1</v>
      </c>
      <c r="D30" s="220" t="str">
        <f t="shared" si="2"/>
        <v/>
      </c>
      <c r="E30" s="298" t="str">
        <f t="shared" si="3"/>
        <v/>
      </c>
      <c r="F30" s="87">
        <f t="shared" si="4"/>
        <v>42238</v>
      </c>
      <c r="G30" s="147"/>
      <c r="H30" s="74"/>
      <c r="I30" s="75"/>
      <c r="J30" s="221">
        <f t="shared" si="5"/>
        <v>0</v>
      </c>
      <c r="K30" s="76"/>
      <c r="L30" s="221">
        <f t="shared" si="43"/>
        <v>0</v>
      </c>
      <c r="M30" s="74"/>
      <c r="N30" s="75"/>
      <c r="O30" s="221">
        <f t="shared" si="6"/>
        <v>0</v>
      </c>
      <c r="P30" s="76"/>
      <c r="Q30" s="221">
        <f t="shared" si="44"/>
        <v>0</v>
      </c>
      <c r="R30" s="221">
        <f t="shared" si="45"/>
        <v>0</v>
      </c>
      <c r="S30" s="221">
        <f t="shared" si="7"/>
        <v>0</v>
      </c>
      <c r="T30" s="79">
        <f t="shared" si="8"/>
        <v>0</v>
      </c>
      <c r="U30" s="79">
        <f t="shared" si="39"/>
        <v>0</v>
      </c>
      <c r="V30" s="80">
        <f t="shared" ca="1" si="9"/>
        <v>0.33333333329999998</v>
      </c>
      <c r="W30" s="249" t="str">
        <f t="shared" ca="1" si="10"/>
        <v/>
      </c>
      <c r="X30" s="293"/>
      <c r="Y30" s="221">
        <f t="shared" si="11"/>
        <v>0</v>
      </c>
      <c r="Z30" s="299">
        <f ca="1">IF(B30="","",INDIRECT(ADDRESS(MATCH(B30,Soll_AZ,1)+MATCH("Arbeitszeit 1 ab",Voreinstellung_Übersicht!B:B,0)-1,WEEKDAY(B30,2)+4,,,"Voreinstellung_Übersicht"),TRUE))</f>
        <v>0.33333333333333331</v>
      </c>
      <c r="AA30" s="300">
        <f t="shared" ca="1" si="40"/>
        <v>0</v>
      </c>
      <c r="AB30" s="219">
        <f t="shared" si="12"/>
        <v>0</v>
      </c>
      <c r="AC30" s="219">
        <f t="shared" si="13"/>
        <v>0</v>
      </c>
      <c r="AD30" s="219">
        <f t="shared" si="14"/>
        <v>0</v>
      </c>
      <c r="AE30" s="219">
        <f t="shared" si="15"/>
        <v>0</v>
      </c>
      <c r="AF30" s="219">
        <f t="shared" si="16"/>
        <v>0</v>
      </c>
      <c r="AG30" s="219">
        <f t="shared" si="17"/>
        <v>0</v>
      </c>
      <c r="AH30" s="219">
        <f t="shared" si="18"/>
        <v>0</v>
      </c>
      <c r="AI30" s="219">
        <f t="shared" si="19"/>
        <v>0</v>
      </c>
      <c r="AJ30" s="219">
        <f t="shared" si="20"/>
        <v>0</v>
      </c>
      <c r="AK30" s="219">
        <f t="shared" si="21"/>
        <v>0</v>
      </c>
      <c r="AL30" s="219">
        <f t="shared" si="22"/>
        <v>0</v>
      </c>
      <c r="AM30" s="219">
        <f t="shared" si="23"/>
        <v>0</v>
      </c>
      <c r="AN30" s="301">
        <f t="shared" si="24"/>
        <v>0</v>
      </c>
      <c r="AO30" s="301">
        <f t="shared" si="25"/>
        <v>0</v>
      </c>
      <c r="AP30" s="301">
        <f t="shared" si="26"/>
        <v>0</v>
      </c>
      <c r="AQ30" s="301">
        <f t="shared" si="27"/>
        <v>0</v>
      </c>
      <c r="AR30" s="301">
        <f t="shared" si="28"/>
        <v>0</v>
      </c>
      <c r="AS30" s="301">
        <f t="shared" si="29"/>
        <v>0</v>
      </c>
      <c r="AT30" s="302">
        <f t="shared" si="30"/>
        <v>0</v>
      </c>
      <c r="AU30" s="302">
        <f t="shared" si="31"/>
        <v>0</v>
      </c>
      <c r="AV30" s="81">
        <f t="shared" si="32"/>
        <v>0</v>
      </c>
      <c r="AW30" s="82">
        <f t="shared" si="33"/>
        <v>0</v>
      </c>
      <c r="AX30" s="81">
        <f t="shared" si="34"/>
        <v>0</v>
      </c>
      <c r="AY30" s="83">
        <f t="shared" si="35"/>
        <v>0</v>
      </c>
      <c r="AZ30" s="83">
        <f t="shared" si="36"/>
        <v>0</v>
      </c>
      <c r="BA30" s="82">
        <f>IF(OR(B30=Feiertage!$A$16,B30=Feiertage!$A$19),U30*Zuschläge_24_31/100,IF(AZ30&gt;0,AZ30*Feiertag_mit/100,IF(AX30&gt;0,AX30*Zuschläge_Sa/100,IF(AY30&gt;0,AY30*Zuschlag_So/100,0))))</f>
        <v>0</v>
      </c>
      <c r="BB30" s="82">
        <f>IF(AND(B30&lt;&gt;0,G30=Voreinstellung_Übersicht!$D$41),IF(EG=1,W30*Über_klein/100,IF(EG=2,W30*Über_groß/100,"Fehler")),0)</f>
        <v>0</v>
      </c>
      <c r="BC30" s="299">
        <f t="shared" ca="1" si="41"/>
        <v>0</v>
      </c>
      <c r="BD30" s="219">
        <f t="shared" ca="1" si="37"/>
        <v>1</v>
      </c>
      <c r="BE30" s="303">
        <f ca="1">IF(B30="","",INDIRECT(ADDRESS(MATCH(B30,Soll_AZ,1)+MATCH("Arbeitszeit 1 ab",Voreinstellung_Übersicht!B:B,0)-1,4,,,"Voreinstellung_Übersicht"),TRUE))</f>
        <v>1.6666666666666665</v>
      </c>
      <c r="BF30" s="1">
        <f t="shared" si="42"/>
        <v>0</v>
      </c>
    </row>
    <row r="31" spans="1:58" s="1" customFormat="1" ht="15" x14ac:dyDescent="0.3">
      <c r="A31" s="218">
        <f t="shared" si="0"/>
        <v>34</v>
      </c>
      <c r="B31" s="47">
        <f t="shared" si="38"/>
        <v>42239</v>
      </c>
      <c r="C31" s="219">
        <f t="shared" si="1"/>
        <v>0</v>
      </c>
      <c r="D31" s="220" t="str">
        <f t="shared" si="2"/>
        <v/>
      </c>
      <c r="E31" s="298" t="str">
        <f t="shared" si="3"/>
        <v/>
      </c>
      <c r="F31" s="87">
        <f t="shared" si="4"/>
        <v>42239</v>
      </c>
      <c r="G31" s="147"/>
      <c r="H31" s="74"/>
      <c r="I31" s="75"/>
      <c r="J31" s="221">
        <f t="shared" si="5"/>
        <v>0</v>
      </c>
      <c r="K31" s="76"/>
      <c r="L31" s="221">
        <f t="shared" si="43"/>
        <v>0</v>
      </c>
      <c r="M31" s="74"/>
      <c r="N31" s="75"/>
      <c r="O31" s="221">
        <f t="shared" si="6"/>
        <v>0</v>
      </c>
      <c r="P31" s="76"/>
      <c r="Q31" s="221">
        <f t="shared" si="44"/>
        <v>0</v>
      </c>
      <c r="R31" s="221">
        <f t="shared" si="45"/>
        <v>0</v>
      </c>
      <c r="S31" s="221">
        <f t="shared" si="7"/>
        <v>0</v>
      </c>
      <c r="T31" s="79">
        <f t="shared" si="8"/>
        <v>0</v>
      </c>
      <c r="U31" s="79">
        <f t="shared" si="39"/>
        <v>0</v>
      </c>
      <c r="V31" s="80">
        <f t="shared" ca="1" si="9"/>
        <v>0</v>
      </c>
      <c r="W31" s="249" t="str">
        <f t="shared" ca="1" si="10"/>
        <v/>
      </c>
      <c r="X31" s="293"/>
      <c r="Y31" s="221">
        <f t="shared" si="11"/>
        <v>0</v>
      </c>
      <c r="Z31" s="299">
        <f ca="1">IF(B31="","",INDIRECT(ADDRESS(MATCH(B31,Soll_AZ,1)+MATCH("Arbeitszeit 1 ab",Voreinstellung_Übersicht!B:B,0)-1,WEEKDAY(B31,2)+4,,,"Voreinstellung_Übersicht"),TRUE))</f>
        <v>0</v>
      </c>
      <c r="AA31" s="300">
        <f t="shared" ca="1" si="40"/>
        <v>0</v>
      </c>
      <c r="AB31" s="219">
        <f t="shared" si="12"/>
        <v>0</v>
      </c>
      <c r="AC31" s="219">
        <f t="shared" si="13"/>
        <v>0</v>
      </c>
      <c r="AD31" s="219">
        <f t="shared" si="14"/>
        <v>0</v>
      </c>
      <c r="AE31" s="219">
        <f t="shared" si="15"/>
        <v>0</v>
      </c>
      <c r="AF31" s="219">
        <f t="shared" si="16"/>
        <v>0</v>
      </c>
      <c r="AG31" s="219">
        <f t="shared" si="17"/>
        <v>0</v>
      </c>
      <c r="AH31" s="219">
        <f t="shared" si="18"/>
        <v>0</v>
      </c>
      <c r="AI31" s="219">
        <f t="shared" si="19"/>
        <v>0</v>
      </c>
      <c r="AJ31" s="219">
        <f t="shared" si="20"/>
        <v>0</v>
      </c>
      <c r="AK31" s="219">
        <f t="shared" si="21"/>
        <v>0</v>
      </c>
      <c r="AL31" s="219">
        <f t="shared" si="22"/>
        <v>0</v>
      </c>
      <c r="AM31" s="219">
        <f t="shared" si="23"/>
        <v>0</v>
      </c>
      <c r="AN31" s="301">
        <f t="shared" si="24"/>
        <v>0</v>
      </c>
      <c r="AO31" s="301">
        <f t="shared" si="25"/>
        <v>0</v>
      </c>
      <c r="AP31" s="301">
        <f t="shared" si="26"/>
        <v>0</v>
      </c>
      <c r="AQ31" s="301">
        <f t="shared" si="27"/>
        <v>0</v>
      </c>
      <c r="AR31" s="301">
        <f t="shared" si="28"/>
        <v>0</v>
      </c>
      <c r="AS31" s="301">
        <f t="shared" si="29"/>
        <v>0</v>
      </c>
      <c r="AT31" s="302">
        <f t="shared" si="30"/>
        <v>0</v>
      </c>
      <c r="AU31" s="302">
        <f t="shared" si="31"/>
        <v>0</v>
      </c>
      <c r="AV31" s="81">
        <f t="shared" si="32"/>
        <v>0</v>
      </c>
      <c r="AW31" s="82">
        <f t="shared" si="33"/>
        <v>0</v>
      </c>
      <c r="AX31" s="81">
        <f t="shared" si="34"/>
        <v>0</v>
      </c>
      <c r="AY31" s="83">
        <f t="shared" si="35"/>
        <v>0</v>
      </c>
      <c r="AZ31" s="83">
        <f t="shared" si="36"/>
        <v>0</v>
      </c>
      <c r="BA31" s="82">
        <f>IF(OR(B31=Feiertage!$A$16,B31=Feiertage!$A$19),U31*Zuschläge_24_31/100,IF(AZ31&gt;0,AZ31*Feiertag_mit/100,IF(AX31&gt;0,AX31*Zuschläge_Sa/100,IF(AY31&gt;0,AY31*Zuschlag_So/100,0))))</f>
        <v>0</v>
      </c>
      <c r="BB31" s="82">
        <f>IF(AND(B31&lt;&gt;0,G31=Voreinstellung_Übersicht!$D$41),IF(EG=1,W31*Über_klein/100,IF(EG=2,W31*Über_groß/100,"Fehler")),0)</f>
        <v>0</v>
      </c>
      <c r="BC31" s="299">
        <f t="shared" ca="1" si="41"/>
        <v>0</v>
      </c>
      <c r="BD31" s="219">
        <f t="shared" ca="1" si="37"/>
        <v>1</v>
      </c>
      <c r="BE31" s="303">
        <f ca="1">IF(B31="","",INDIRECT(ADDRESS(MATCH(B31,Soll_AZ,1)+MATCH("Arbeitszeit 1 ab",Voreinstellung_Übersicht!B:B,0)-1,4,,,"Voreinstellung_Übersicht"),TRUE))</f>
        <v>1.6666666666666665</v>
      </c>
      <c r="BF31" s="1">
        <f t="shared" si="42"/>
        <v>0</v>
      </c>
    </row>
    <row r="32" spans="1:58" s="1" customFormat="1" ht="15" x14ac:dyDescent="0.3">
      <c r="A32" s="218">
        <f t="shared" si="0"/>
        <v>35</v>
      </c>
      <c r="B32" s="47">
        <f t="shared" si="38"/>
        <v>42240</v>
      </c>
      <c r="C32" s="219">
        <f t="shared" si="1"/>
        <v>0</v>
      </c>
      <c r="D32" s="220" t="str">
        <f t="shared" si="2"/>
        <v/>
      </c>
      <c r="E32" s="298" t="str">
        <f t="shared" si="3"/>
        <v/>
      </c>
      <c r="F32" s="87">
        <f t="shared" si="4"/>
        <v>42240</v>
      </c>
      <c r="G32" s="147"/>
      <c r="H32" s="74"/>
      <c r="I32" s="75"/>
      <c r="J32" s="221">
        <f t="shared" si="5"/>
        <v>0</v>
      </c>
      <c r="K32" s="76"/>
      <c r="L32" s="221">
        <f t="shared" si="43"/>
        <v>0</v>
      </c>
      <c r="M32" s="74"/>
      <c r="N32" s="75"/>
      <c r="O32" s="221">
        <f t="shared" si="6"/>
        <v>0</v>
      </c>
      <c r="P32" s="76"/>
      <c r="Q32" s="221">
        <f t="shared" si="44"/>
        <v>0</v>
      </c>
      <c r="R32" s="221">
        <f t="shared" si="45"/>
        <v>0</v>
      </c>
      <c r="S32" s="221">
        <f t="shared" si="7"/>
        <v>0</v>
      </c>
      <c r="T32" s="79">
        <f t="shared" si="8"/>
        <v>0</v>
      </c>
      <c r="U32" s="79">
        <f t="shared" si="39"/>
        <v>0</v>
      </c>
      <c r="V32" s="80">
        <f t="shared" ca="1" si="9"/>
        <v>0</v>
      </c>
      <c r="W32" s="249" t="str">
        <f t="shared" ca="1" si="10"/>
        <v/>
      </c>
      <c r="X32" s="293"/>
      <c r="Y32" s="221">
        <f t="shared" si="11"/>
        <v>0</v>
      </c>
      <c r="Z32" s="299">
        <f ca="1">IF(B32="","",INDIRECT(ADDRESS(MATCH(B32,Soll_AZ,1)+MATCH("Arbeitszeit 1 ab",Voreinstellung_Übersicht!B:B,0)-1,WEEKDAY(B32,2)+4,,,"Voreinstellung_Übersicht"),TRUE))</f>
        <v>0</v>
      </c>
      <c r="AA32" s="300">
        <f t="shared" ca="1" si="40"/>
        <v>0</v>
      </c>
      <c r="AB32" s="219">
        <f t="shared" si="12"/>
        <v>0</v>
      </c>
      <c r="AC32" s="219">
        <f t="shared" si="13"/>
        <v>0</v>
      </c>
      <c r="AD32" s="219">
        <f t="shared" si="14"/>
        <v>0</v>
      </c>
      <c r="AE32" s="219">
        <f t="shared" si="15"/>
        <v>0</v>
      </c>
      <c r="AF32" s="219">
        <f t="shared" si="16"/>
        <v>0</v>
      </c>
      <c r="AG32" s="219">
        <f t="shared" si="17"/>
        <v>0</v>
      </c>
      <c r="AH32" s="219">
        <f t="shared" si="18"/>
        <v>0</v>
      </c>
      <c r="AI32" s="219">
        <f t="shared" si="19"/>
        <v>0</v>
      </c>
      <c r="AJ32" s="219">
        <f t="shared" si="20"/>
        <v>0</v>
      </c>
      <c r="AK32" s="219">
        <f t="shared" si="21"/>
        <v>0</v>
      </c>
      <c r="AL32" s="219">
        <f t="shared" si="22"/>
        <v>0</v>
      </c>
      <c r="AM32" s="219">
        <f t="shared" si="23"/>
        <v>0</v>
      </c>
      <c r="AN32" s="301">
        <f t="shared" si="24"/>
        <v>0</v>
      </c>
      <c r="AO32" s="301">
        <f t="shared" si="25"/>
        <v>0</v>
      </c>
      <c r="AP32" s="301">
        <f t="shared" si="26"/>
        <v>0</v>
      </c>
      <c r="AQ32" s="301">
        <f t="shared" si="27"/>
        <v>0</v>
      </c>
      <c r="AR32" s="301">
        <f t="shared" si="28"/>
        <v>0</v>
      </c>
      <c r="AS32" s="301">
        <f t="shared" si="29"/>
        <v>0</v>
      </c>
      <c r="AT32" s="302">
        <f t="shared" si="30"/>
        <v>0</v>
      </c>
      <c r="AU32" s="302">
        <f t="shared" si="31"/>
        <v>0</v>
      </c>
      <c r="AV32" s="81">
        <f t="shared" si="32"/>
        <v>0</v>
      </c>
      <c r="AW32" s="82">
        <f t="shared" si="33"/>
        <v>0</v>
      </c>
      <c r="AX32" s="81">
        <f t="shared" si="34"/>
        <v>0</v>
      </c>
      <c r="AY32" s="83">
        <f t="shared" si="35"/>
        <v>0</v>
      </c>
      <c r="AZ32" s="83">
        <f t="shared" si="36"/>
        <v>0</v>
      </c>
      <c r="BA32" s="82">
        <f>IF(OR(B32=Feiertage!$A$16,B32=Feiertage!$A$19),U32*Zuschläge_24_31/100,IF(AZ32&gt;0,AZ32*Feiertag_mit/100,IF(AX32&gt;0,AX32*Zuschläge_Sa/100,IF(AY32&gt;0,AY32*Zuschlag_So/100,0))))</f>
        <v>0</v>
      </c>
      <c r="BB32" s="82">
        <f>IF(AND(B32&lt;&gt;0,G32=Voreinstellung_Übersicht!$D$41),IF(EG=1,W32*Über_klein/100,IF(EG=2,W32*Über_groß/100,"Fehler")),0)</f>
        <v>0</v>
      </c>
      <c r="BC32" s="299">
        <f t="shared" ca="1" si="41"/>
        <v>0</v>
      </c>
      <c r="BD32" s="219">
        <f t="shared" ca="1" si="37"/>
        <v>1</v>
      </c>
      <c r="BE32" s="303">
        <f ca="1">IF(B32="","",INDIRECT(ADDRESS(MATCH(B32,Soll_AZ,1)+MATCH("Arbeitszeit 1 ab",Voreinstellung_Übersicht!B:B,0)-1,4,,,"Voreinstellung_Übersicht"),TRUE))</f>
        <v>1.6666666666666665</v>
      </c>
      <c r="BF32" s="1">
        <f t="shared" si="42"/>
        <v>0</v>
      </c>
    </row>
    <row r="33" spans="1:104" s="1" customFormat="1" ht="15" x14ac:dyDescent="0.3">
      <c r="A33" s="218">
        <f t="shared" si="0"/>
        <v>35</v>
      </c>
      <c r="B33" s="47">
        <f t="shared" si="38"/>
        <v>42241</v>
      </c>
      <c r="C33" s="219">
        <f t="shared" si="1"/>
        <v>1</v>
      </c>
      <c r="D33" s="220" t="str">
        <f t="shared" si="2"/>
        <v/>
      </c>
      <c r="E33" s="298" t="str">
        <f t="shared" si="3"/>
        <v/>
      </c>
      <c r="F33" s="87">
        <f t="shared" si="4"/>
        <v>42241</v>
      </c>
      <c r="G33" s="147"/>
      <c r="H33" s="74"/>
      <c r="I33" s="75"/>
      <c r="J33" s="221">
        <f t="shared" si="5"/>
        <v>0</v>
      </c>
      <c r="K33" s="76"/>
      <c r="L33" s="221">
        <f t="shared" si="43"/>
        <v>0</v>
      </c>
      <c r="M33" s="74"/>
      <c r="N33" s="75"/>
      <c r="O33" s="221">
        <f t="shared" si="6"/>
        <v>0</v>
      </c>
      <c r="P33" s="76"/>
      <c r="Q33" s="221">
        <f t="shared" si="44"/>
        <v>0</v>
      </c>
      <c r="R33" s="221">
        <f t="shared" si="45"/>
        <v>0</v>
      </c>
      <c r="S33" s="221">
        <f t="shared" si="7"/>
        <v>0</v>
      </c>
      <c r="T33" s="79">
        <f t="shared" si="8"/>
        <v>0</v>
      </c>
      <c r="U33" s="79">
        <f t="shared" si="39"/>
        <v>0</v>
      </c>
      <c r="V33" s="80">
        <f t="shared" ca="1" si="9"/>
        <v>0.33333333329999998</v>
      </c>
      <c r="W33" s="249" t="str">
        <f t="shared" ca="1" si="10"/>
        <v/>
      </c>
      <c r="X33" s="293"/>
      <c r="Y33" s="221">
        <f t="shared" si="11"/>
        <v>0</v>
      </c>
      <c r="Z33" s="299">
        <f ca="1">IF(B33="","",INDIRECT(ADDRESS(MATCH(B33,Soll_AZ,1)+MATCH("Arbeitszeit 1 ab",Voreinstellung_Übersicht!B:B,0)-1,WEEKDAY(B33,2)+4,,,"Voreinstellung_Übersicht"),TRUE))</f>
        <v>0.33333333333333331</v>
      </c>
      <c r="AA33" s="300">
        <f t="shared" ca="1" si="40"/>
        <v>0</v>
      </c>
      <c r="AB33" s="219">
        <f t="shared" si="12"/>
        <v>0</v>
      </c>
      <c r="AC33" s="219">
        <f t="shared" si="13"/>
        <v>0</v>
      </c>
      <c r="AD33" s="219">
        <f t="shared" si="14"/>
        <v>0</v>
      </c>
      <c r="AE33" s="219">
        <f t="shared" si="15"/>
        <v>0</v>
      </c>
      <c r="AF33" s="219">
        <f t="shared" si="16"/>
        <v>0</v>
      </c>
      <c r="AG33" s="219">
        <f t="shared" si="17"/>
        <v>0</v>
      </c>
      <c r="AH33" s="219">
        <f t="shared" si="18"/>
        <v>0</v>
      </c>
      <c r="AI33" s="219">
        <f t="shared" si="19"/>
        <v>0</v>
      </c>
      <c r="AJ33" s="219">
        <f t="shared" si="20"/>
        <v>0</v>
      </c>
      <c r="AK33" s="219">
        <f t="shared" si="21"/>
        <v>0</v>
      </c>
      <c r="AL33" s="219">
        <f t="shared" si="22"/>
        <v>0</v>
      </c>
      <c r="AM33" s="219">
        <f t="shared" si="23"/>
        <v>0</v>
      </c>
      <c r="AN33" s="301">
        <f t="shared" si="24"/>
        <v>0</v>
      </c>
      <c r="AO33" s="301">
        <f t="shared" si="25"/>
        <v>0</v>
      </c>
      <c r="AP33" s="301">
        <f t="shared" si="26"/>
        <v>0</v>
      </c>
      <c r="AQ33" s="301">
        <f t="shared" si="27"/>
        <v>0</v>
      </c>
      <c r="AR33" s="301">
        <f t="shared" si="28"/>
        <v>0</v>
      </c>
      <c r="AS33" s="301">
        <f t="shared" si="29"/>
        <v>0</v>
      </c>
      <c r="AT33" s="302">
        <f t="shared" si="30"/>
        <v>0</v>
      </c>
      <c r="AU33" s="302">
        <f t="shared" si="31"/>
        <v>0</v>
      </c>
      <c r="AV33" s="81">
        <f t="shared" si="32"/>
        <v>0</v>
      </c>
      <c r="AW33" s="82">
        <f t="shared" si="33"/>
        <v>0</v>
      </c>
      <c r="AX33" s="81">
        <f t="shared" si="34"/>
        <v>0</v>
      </c>
      <c r="AY33" s="83">
        <f t="shared" si="35"/>
        <v>0</v>
      </c>
      <c r="AZ33" s="83">
        <f t="shared" si="36"/>
        <v>0</v>
      </c>
      <c r="BA33" s="82">
        <f>IF(OR(B33=Feiertage!$A$16,B33=Feiertage!$A$19),U33*Zuschläge_24_31/100,IF(AZ33&gt;0,AZ33*Feiertag_mit/100,IF(AX33&gt;0,AX33*Zuschläge_Sa/100,IF(AY33&gt;0,AY33*Zuschlag_So/100,0))))</f>
        <v>0</v>
      </c>
      <c r="BB33" s="82">
        <f>IF(AND(B33&lt;&gt;0,G33=Voreinstellung_Übersicht!$D$41),IF(EG=1,W33*Über_klein/100,IF(EG=2,W33*Über_groß/100,"Fehler")),0)</f>
        <v>0</v>
      </c>
      <c r="BC33" s="299">
        <f t="shared" ca="1" si="41"/>
        <v>0</v>
      </c>
      <c r="BD33" s="219">
        <f t="shared" ca="1" si="37"/>
        <v>1</v>
      </c>
      <c r="BE33" s="303">
        <f ca="1">IF(B33="","",INDIRECT(ADDRESS(MATCH(B33,Soll_AZ,1)+MATCH("Arbeitszeit 1 ab",Voreinstellung_Übersicht!B:B,0)-1,4,,,"Voreinstellung_Übersicht"),TRUE))</f>
        <v>1.6666666666666665</v>
      </c>
      <c r="BF33" s="1">
        <f t="shared" si="42"/>
        <v>0</v>
      </c>
    </row>
    <row r="34" spans="1:104" s="1" customFormat="1" ht="15" x14ac:dyDescent="0.3">
      <c r="A34" s="218">
        <f t="shared" si="0"/>
        <v>35</v>
      </c>
      <c r="B34" s="47">
        <f t="shared" si="38"/>
        <v>42242</v>
      </c>
      <c r="C34" s="219">
        <f t="shared" si="1"/>
        <v>1</v>
      </c>
      <c r="D34" s="220" t="str">
        <f t="shared" si="2"/>
        <v/>
      </c>
      <c r="E34" s="298" t="str">
        <f t="shared" si="3"/>
        <v/>
      </c>
      <c r="F34" s="87">
        <f t="shared" si="4"/>
        <v>42242</v>
      </c>
      <c r="G34" s="147"/>
      <c r="H34" s="74"/>
      <c r="I34" s="75"/>
      <c r="J34" s="221">
        <f t="shared" si="5"/>
        <v>0</v>
      </c>
      <c r="K34" s="76"/>
      <c r="L34" s="221">
        <f t="shared" si="43"/>
        <v>0</v>
      </c>
      <c r="M34" s="74"/>
      <c r="N34" s="75"/>
      <c r="O34" s="221">
        <f t="shared" si="6"/>
        <v>0</v>
      </c>
      <c r="P34" s="76"/>
      <c r="Q34" s="221">
        <f t="shared" si="44"/>
        <v>0</v>
      </c>
      <c r="R34" s="221">
        <f t="shared" si="45"/>
        <v>0</v>
      </c>
      <c r="S34" s="221">
        <f t="shared" si="7"/>
        <v>0</v>
      </c>
      <c r="T34" s="79">
        <f t="shared" si="8"/>
        <v>0</v>
      </c>
      <c r="U34" s="79">
        <f t="shared" si="39"/>
        <v>0</v>
      </c>
      <c r="V34" s="80">
        <f t="shared" ca="1" si="9"/>
        <v>0.33333333329999998</v>
      </c>
      <c r="W34" s="249" t="str">
        <f t="shared" ca="1" si="10"/>
        <v/>
      </c>
      <c r="X34" s="293"/>
      <c r="Y34" s="221">
        <f t="shared" si="11"/>
        <v>0</v>
      </c>
      <c r="Z34" s="299">
        <f ca="1">IF(B34="","",INDIRECT(ADDRESS(MATCH(B34,Soll_AZ,1)+MATCH("Arbeitszeit 1 ab",Voreinstellung_Übersicht!B:B,0)-1,WEEKDAY(B34,2)+4,,,"Voreinstellung_Übersicht"),TRUE))</f>
        <v>0.33333333333333331</v>
      </c>
      <c r="AA34" s="300">
        <f t="shared" ca="1" si="40"/>
        <v>0</v>
      </c>
      <c r="AB34" s="219">
        <f t="shared" si="12"/>
        <v>0</v>
      </c>
      <c r="AC34" s="219">
        <f t="shared" si="13"/>
        <v>0</v>
      </c>
      <c r="AD34" s="219">
        <f t="shared" si="14"/>
        <v>0</v>
      </c>
      <c r="AE34" s="219">
        <f t="shared" si="15"/>
        <v>0</v>
      </c>
      <c r="AF34" s="219">
        <f t="shared" si="16"/>
        <v>0</v>
      </c>
      <c r="AG34" s="219">
        <f t="shared" si="17"/>
        <v>0</v>
      </c>
      <c r="AH34" s="219">
        <f t="shared" si="18"/>
        <v>0</v>
      </c>
      <c r="AI34" s="219">
        <f t="shared" si="19"/>
        <v>0</v>
      </c>
      <c r="AJ34" s="219">
        <f t="shared" si="20"/>
        <v>0</v>
      </c>
      <c r="AK34" s="219">
        <f t="shared" si="21"/>
        <v>0</v>
      </c>
      <c r="AL34" s="219">
        <f t="shared" si="22"/>
        <v>0</v>
      </c>
      <c r="AM34" s="219">
        <f t="shared" si="23"/>
        <v>0</v>
      </c>
      <c r="AN34" s="301">
        <f t="shared" si="24"/>
        <v>0</v>
      </c>
      <c r="AO34" s="301">
        <f t="shared" si="25"/>
        <v>0</v>
      </c>
      <c r="AP34" s="301">
        <f t="shared" si="26"/>
        <v>0</v>
      </c>
      <c r="AQ34" s="301">
        <f t="shared" si="27"/>
        <v>0</v>
      </c>
      <c r="AR34" s="301">
        <f t="shared" si="28"/>
        <v>0</v>
      </c>
      <c r="AS34" s="301">
        <f t="shared" si="29"/>
        <v>0</v>
      </c>
      <c r="AT34" s="302">
        <f t="shared" si="30"/>
        <v>0</v>
      </c>
      <c r="AU34" s="302">
        <f t="shared" si="31"/>
        <v>0</v>
      </c>
      <c r="AV34" s="81">
        <f t="shared" si="32"/>
        <v>0</v>
      </c>
      <c r="AW34" s="82">
        <f t="shared" si="33"/>
        <v>0</v>
      </c>
      <c r="AX34" s="81">
        <f t="shared" si="34"/>
        <v>0</v>
      </c>
      <c r="AY34" s="83">
        <f t="shared" si="35"/>
        <v>0</v>
      </c>
      <c r="AZ34" s="83">
        <f t="shared" si="36"/>
        <v>0</v>
      </c>
      <c r="BA34" s="82">
        <f>IF(OR(B34=Feiertage!$A$16,B34=Feiertage!$A$19),U34*Zuschläge_24_31/100,IF(AZ34&gt;0,AZ34*Feiertag_mit/100,IF(AX34&gt;0,AX34*Zuschläge_Sa/100,IF(AY34&gt;0,AY34*Zuschlag_So/100,0))))</f>
        <v>0</v>
      </c>
      <c r="BB34" s="82">
        <f>IF(AND(B34&lt;&gt;0,G34=Voreinstellung_Übersicht!$D$41),IF(EG=1,W34*Über_klein/100,IF(EG=2,W34*Über_groß/100,"Fehler")),0)</f>
        <v>0</v>
      </c>
      <c r="BC34" s="299">
        <f t="shared" ca="1" si="41"/>
        <v>0</v>
      </c>
      <c r="BD34" s="219">
        <f t="shared" ca="1" si="37"/>
        <v>1</v>
      </c>
      <c r="BE34" s="303">
        <f ca="1">IF(B34="","",INDIRECT(ADDRESS(MATCH(B34,Soll_AZ,1)+MATCH("Arbeitszeit 1 ab",Voreinstellung_Übersicht!B:B,0)-1,4,,,"Voreinstellung_Übersicht"),TRUE))</f>
        <v>1.6666666666666665</v>
      </c>
      <c r="BF34" s="1">
        <f t="shared" si="42"/>
        <v>0</v>
      </c>
    </row>
    <row r="35" spans="1:104" s="1" customFormat="1" ht="15" x14ac:dyDescent="0.3">
      <c r="A35" s="218">
        <f t="shared" si="0"/>
        <v>35</v>
      </c>
      <c r="B35" s="47">
        <f t="shared" si="38"/>
        <v>42243</v>
      </c>
      <c r="C35" s="219">
        <f t="shared" si="1"/>
        <v>1</v>
      </c>
      <c r="D35" s="220" t="str">
        <f t="shared" si="2"/>
        <v/>
      </c>
      <c r="E35" s="298" t="str">
        <f t="shared" si="3"/>
        <v/>
      </c>
      <c r="F35" s="87">
        <f t="shared" si="4"/>
        <v>42243</v>
      </c>
      <c r="G35" s="147"/>
      <c r="H35" s="74"/>
      <c r="I35" s="75"/>
      <c r="J35" s="221">
        <f t="shared" si="5"/>
        <v>0</v>
      </c>
      <c r="K35" s="76"/>
      <c r="L35" s="221">
        <f t="shared" si="43"/>
        <v>0</v>
      </c>
      <c r="M35" s="74"/>
      <c r="N35" s="75"/>
      <c r="O35" s="221">
        <f t="shared" si="6"/>
        <v>0</v>
      </c>
      <c r="P35" s="76"/>
      <c r="Q35" s="221">
        <f t="shared" si="44"/>
        <v>0</v>
      </c>
      <c r="R35" s="221">
        <f t="shared" si="45"/>
        <v>0</v>
      </c>
      <c r="S35" s="221">
        <f t="shared" si="7"/>
        <v>0</v>
      </c>
      <c r="T35" s="79">
        <f t="shared" si="8"/>
        <v>0</v>
      </c>
      <c r="U35" s="79">
        <f t="shared" si="39"/>
        <v>0</v>
      </c>
      <c r="V35" s="80">
        <f t="shared" ca="1" si="9"/>
        <v>0.33333333329999998</v>
      </c>
      <c r="W35" s="249" t="str">
        <f t="shared" ca="1" si="10"/>
        <v/>
      </c>
      <c r="X35" s="293"/>
      <c r="Y35" s="221">
        <f t="shared" si="11"/>
        <v>0</v>
      </c>
      <c r="Z35" s="299">
        <f ca="1">IF(B35="","",INDIRECT(ADDRESS(MATCH(B35,Soll_AZ,1)+MATCH("Arbeitszeit 1 ab",Voreinstellung_Übersicht!B:B,0)-1,WEEKDAY(B35,2)+4,,,"Voreinstellung_Übersicht"),TRUE))</f>
        <v>0.33333333333333331</v>
      </c>
      <c r="AA35" s="300">
        <f t="shared" ca="1" si="40"/>
        <v>0</v>
      </c>
      <c r="AB35" s="219">
        <f t="shared" si="12"/>
        <v>0</v>
      </c>
      <c r="AC35" s="219">
        <f t="shared" si="13"/>
        <v>0</v>
      </c>
      <c r="AD35" s="219">
        <f t="shared" si="14"/>
        <v>0</v>
      </c>
      <c r="AE35" s="219">
        <f t="shared" si="15"/>
        <v>0</v>
      </c>
      <c r="AF35" s="219">
        <f t="shared" si="16"/>
        <v>0</v>
      </c>
      <c r="AG35" s="219">
        <f t="shared" si="17"/>
        <v>0</v>
      </c>
      <c r="AH35" s="219">
        <f t="shared" si="18"/>
        <v>0</v>
      </c>
      <c r="AI35" s="219">
        <f t="shared" si="19"/>
        <v>0</v>
      </c>
      <c r="AJ35" s="219">
        <f t="shared" si="20"/>
        <v>0</v>
      </c>
      <c r="AK35" s="219">
        <f t="shared" si="21"/>
        <v>0</v>
      </c>
      <c r="AL35" s="219">
        <f t="shared" si="22"/>
        <v>0</v>
      </c>
      <c r="AM35" s="219">
        <f t="shared" si="23"/>
        <v>0</v>
      </c>
      <c r="AN35" s="301">
        <f t="shared" si="24"/>
        <v>0</v>
      </c>
      <c r="AO35" s="301">
        <f t="shared" si="25"/>
        <v>0</v>
      </c>
      <c r="AP35" s="301">
        <f t="shared" si="26"/>
        <v>0</v>
      </c>
      <c r="AQ35" s="301">
        <f t="shared" si="27"/>
        <v>0</v>
      </c>
      <c r="AR35" s="301">
        <f t="shared" si="28"/>
        <v>0</v>
      </c>
      <c r="AS35" s="301">
        <f t="shared" si="29"/>
        <v>0</v>
      </c>
      <c r="AT35" s="302">
        <f t="shared" si="30"/>
        <v>0</v>
      </c>
      <c r="AU35" s="302">
        <f t="shared" si="31"/>
        <v>0</v>
      </c>
      <c r="AV35" s="81">
        <f t="shared" si="32"/>
        <v>0</v>
      </c>
      <c r="AW35" s="82">
        <f t="shared" si="33"/>
        <v>0</v>
      </c>
      <c r="AX35" s="81">
        <f t="shared" si="34"/>
        <v>0</v>
      </c>
      <c r="AY35" s="83">
        <f t="shared" si="35"/>
        <v>0</v>
      </c>
      <c r="AZ35" s="83">
        <f t="shared" si="36"/>
        <v>0</v>
      </c>
      <c r="BA35" s="82">
        <f>IF(OR(B35=Feiertage!$A$16,B35=Feiertage!$A$19),U35*Zuschläge_24_31/100,IF(AZ35&gt;0,AZ35*Feiertag_mit/100,IF(AX35&gt;0,AX35*Zuschläge_Sa/100,IF(AY35&gt;0,AY35*Zuschlag_So/100,0))))</f>
        <v>0</v>
      </c>
      <c r="BB35" s="82">
        <f>IF(AND(B35&lt;&gt;0,G35=Voreinstellung_Übersicht!$D$41),IF(EG=1,W35*Über_klein/100,IF(EG=2,W35*Über_groß/100,"Fehler")),0)</f>
        <v>0</v>
      </c>
      <c r="BC35" s="299">
        <f t="shared" ca="1" si="41"/>
        <v>0</v>
      </c>
      <c r="BD35" s="219">
        <f t="shared" ca="1" si="37"/>
        <v>1</v>
      </c>
      <c r="BE35" s="303">
        <f ca="1">IF(B35="","",INDIRECT(ADDRESS(MATCH(B35,Soll_AZ,1)+MATCH("Arbeitszeit 1 ab",Voreinstellung_Übersicht!B:B,0)-1,4,,,"Voreinstellung_Übersicht"),TRUE))</f>
        <v>1.6666666666666665</v>
      </c>
      <c r="BF35" s="1">
        <f t="shared" si="42"/>
        <v>0</v>
      </c>
    </row>
    <row r="36" spans="1:104" s="1" customFormat="1" ht="15" x14ac:dyDescent="0.3">
      <c r="A36" s="218">
        <f t="shared" si="0"/>
        <v>35</v>
      </c>
      <c r="B36" s="47">
        <f t="shared" si="38"/>
        <v>42244</v>
      </c>
      <c r="C36" s="219">
        <f t="shared" si="1"/>
        <v>1</v>
      </c>
      <c r="D36" s="220" t="str">
        <f t="shared" si="2"/>
        <v/>
      </c>
      <c r="E36" s="298" t="str">
        <f t="shared" si="3"/>
        <v/>
      </c>
      <c r="F36" s="87">
        <f t="shared" si="4"/>
        <v>42244</v>
      </c>
      <c r="G36" s="147"/>
      <c r="H36" s="74"/>
      <c r="I36" s="75"/>
      <c r="J36" s="221">
        <f t="shared" si="5"/>
        <v>0</v>
      </c>
      <c r="K36" s="76"/>
      <c r="L36" s="221">
        <f t="shared" si="43"/>
        <v>0</v>
      </c>
      <c r="M36" s="74"/>
      <c r="N36" s="75"/>
      <c r="O36" s="221">
        <f t="shared" si="6"/>
        <v>0</v>
      </c>
      <c r="P36" s="76"/>
      <c r="Q36" s="221">
        <f t="shared" si="44"/>
        <v>0</v>
      </c>
      <c r="R36" s="221">
        <f t="shared" si="45"/>
        <v>0</v>
      </c>
      <c r="S36" s="221">
        <f t="shared" si="7"/>
        <v>0</v>
      </c>
      <c r="T36" s="79">
        <f t="shared" si="8"/>
        <v>0</v>
      </c>
      <c r="U36" s="79">
        <f t="shared" si="39"/>
        <v>0</v>
      </c>
      <c r="V36" s="80">
        <f t="shared" ca="1" si="9"/>
        <v>0.33333333329999998</v>
      </c>
      <c r="W36" s="249" t="str">
        <f t="shared" ca="1" si="10"/>
        <v/>
      </c>
      <c r="X36" s="293"/>
      <c r="Y36" s="221">
        <f t="shared" si="11"/>
        <v>0</v>
      </c>
      <c r="Z36" s="299">
        <f ca="1">IF(B36="","",INDIRECT(ADDRESS(MATCH(B36,Soll_AZ,1)+MATCH("Arbeitszeit 1 ab",Voreinstellung_Übersicht!B:B,0)-1,WEEKDAY(B36,2)+4,,,"Voreinstellung_Übersicht"),TRUE))</f>
        <v>0.33333333333333331</v>
      </c>
      <c r="AA36" s="300">
        <f t="shared" ca="1" si="40"/>
        <v>0</v>
      </c>
      <c r="AB36" s="219">
        <f t="shared" si="12"/>
        <v>0</v>
      </c>
      <c r="AC36" s="219">
        <f t="shared" si="13"/>
        <v>0</v>
      </c>
      <c r="AD36" s="219">
        <f t="shared" si="14"/>
        <v>0</v>
      </c>
      <c r="AE36" s="219">
        <f t="shared" si="15"/>
        <v>0</v>
      </c>
      <c r="AF36" s="219">
        <f t="shared" si="16"/>
        <v>0</v>
      </c>
      <c r="AG36" s="219">
        <f t="shared" si="17"/>
        <v>0</v>
      </c>
      <c r="AH36" s="219">
        <f t="shared" si="18"/>
        <v>0</v>
      </c>
      <c r="AI36" s="219">
        <f t="shared" si="19"/>
        <v>0</v>
      </c>
      <c r="AJ36" s="219">
        <f t="shared" si="20"/>
        <v>0</v>
      </c>
      <c r="AK36" s="219">
        <f t="shared" si="21"/>
        <v>0</v>
      </c>
      <c r="AL36" s="219">
        <f t="shared" si="22"/>
        <v>0</v>
      </c>
      <c r="AM36" s="219">
        <f t="shared" si="23"/>
        <v>0</v>
      </c>
      <c r="AN36" s="301">
        <f t="shared" si="24"/>
        <v>0</v>
      </c>
      <c r="AO36" s="301">
        <f t="shared" si="25"/>
        <v>0</v>
      </c>
      <c r="AP36" s="301">
        <f t="shared" si="26"/>
        <v>0</v>
      </c>
      <c r="AQ36" s="301">
        <f t="shared" si="27"/>
        <v>0</v>
      </c>
      <c r="AR36" s="301">
        <f t="shared" si="28"/>
        <v>0</v>
      </c>
      <c r="AS36" s="301">
        <f t="shared" si="29"/>
        <v>0</v>
      </c>
      <c r="AT36" s="302">
        <f t="shared" si="30"/>
        <v>0</v>
      </c>
      <c r="AU36" s="302">
        <f t="shared" si="31"/>
        <v>0</v>
      </c>
      <c r="AV36" s="81">
        <f t="shared" si="32"/>
        <v>0</v>
      </c>
      <c r="AW36" s="82">
        <f t="shared" si="33"/>
        <v>0</v>
      </c>
      <c r="AX36" s="81">
        <f t="shared" si="34"/>
        <v>0</v>
      </c>
      <c r="AY36" s="83">
        <f t="shared" si="35"/>
        <v>0</v>
      </c>
      <c r="AZ36" s="83">
        <f t="shared" si="36"/>
        <v>0</v>
      </c>
      <c r="BA36" s="82">
        <f>IF(OR(B36=Feiertage!$A$16,B36=Feiertage!$A$19),U36*Zuschläge_24_31/100,IF(AZ36&gt;0,AZ36*Feiertag_mit/100,IF(AX36&gt;0,AX36*Zuschläge_Sa/100,IF(AY36&gt;0,AY36*Zuschlag_So/100,0))))</f>
        <v>0</v>
      </c>
      <c r="BB36" s="82">
        <f>IF(AND(B36&lt;&gt;0,G36=Voreinstellung_Übersicht!$D$41),IF(EG=1,W36*Über_klein/100,IF(EG=2,W36*Über_groß/100,"Fehler")),0)</f>
        <v>0</v>
      </c>
      <c r="BC36" s="299">
        <f t="shared" ca="1" si="41"/>
        <v>0</v>
      </c>
      <c r="BD36" s="219">
        <f t="shared" ca="1" si="37"/>
        <v>1</v>
      </c>
      <c r="BE36" s="303">
        <f ca="1">IF(B36="","",INDIRECT(ADDRESS(MATCH(B36,Soll_AZ,1)+MATCH("Arbeitszeit 1 ab",Voreinstellung_Übersicht!B:B,0)-1,4,,,"Voreinstellung_Übersicht"),TRUE))</f>
        <v>1.6666666666666665</v>
      </c>
      <c r="BF36" s="1">
        <f t="shared" si="42"/>
        <v>0</v>
      </c>
    </row>
    <row r="37" spans="1:104" s="1" customFormat="1" ht="15" x14ac:dyDescent="0.3">
      <c r="A37" s="218">
        <f t="shared" si="0"/>
        <v>35</v>
      </c>
      <c r="B37" s="47">
        <f t="shared" si="38"/>
        <v>42245</v>
      </c>
      <c r="C37" s="219">
        <f t="shared" si="1"/>
        <v>1</v>
      </c>
      <c r="D37" s="220" t="str">
        <f t="shared" si="2"/>
        <v/>
      </c>
      <c r="E37" s="298" t="str">
        <f t="shared" si="3"/>
        <v/>
      </c>
      <c r="F37" s="87">
        <f t="shared" si="4"/>
        <v>42245</v>
      </c>
      <c r="G37" s="147"/>
      <c r="H37" s="74"/>
      <c r="I37" s="75"/>
      <c r="J37" s="221">
        <f t="shared" si="5"/>
        <v>0</v>
      </c>
      <c r="K37" s="76"/>
      <c r="L37" s="221">
        <f t="shared" si="43"/>
        <v>0</v>
      </c>
      <c r="M37" s="74"/>
      <c r="N37" s="75"/>
      <c r="O37" s="221">
        <f t="shared" si="6"/>
        <v>0</v>
      </c>
      <c r="P37" s="76"/>
      <c r="Q37" s="221">
        <f t="shared" si="44"/>
        <v>0</v>
      </c>
      <c r="R37" s="221">
        <f t="shared" si="45"/>
        <v>0</v>
      </c>
      <c r="S37" s="221">
        <f t="shared" si="7"/>
        <v>0</v>
      </c>
      <c r="T37" s="79">
        <f t="shared" si="8"/>
        <v>0</v>
      </c>
      <c r="U37" s="79">
        <f t="shared" si="39"/>
        <v>0</v>
      </c>
      <c r="V37" s="80">
        <f t="shared" ca="1" si="9"/>
        <v>0.33333333329999998</v>
      </c>
      <c r="W37" s="249" t="str">
        <f t="shared" ca="1" si="10"/>
        <v/>
      </c>
      <c r="X37" s="293"/>
      <c r="Y37" s="221">
        <f t="shared" si="11"/>
        <v>0</v>
      </c>
      <c r="Z37" s="299">
        <f ca="1">IF(B37="","",INDIRECT(ADDRESS(MATCH(B37,Soll_AZ,1)+MATCH("Arbeitszeit 1 ab",Voreinstellung_Übersicht!B:B,0)-1,WEEKDAY(B37,2)+4,,,"Voreinstellung_Übersicht"),TRUE))</f>
        <v>0.33333333333333331</v>
      </c>
      <c r="AA37" s="300">
        <f t="shared" ca="1" si="40"/>
        <v>0</v>
      </c>
      <c r="AB37" s="219">
        <f t="shared" si="12"/>
        <v>0</v>
      </c>
      <c r="AC37" s="219">
        <f t="shared" si="13"/>
        <v>0</v>
      </c>
      <c r="AD37" s="219">
        <f t="shared" si="14"/>
        <v>0</v>
      </c>
      <c r="AE37" s="219">
        <f t="shared" si="15"/>
        <v>0</v>
      </c>
      <c r="AF37" s="219">
        <f t="shared" si="16"/>
        <v>0</v>
      </c>
      <c r="AG37" s="219">
        <f t="shared" si="17"/>
        <v>0</v>
      </c>
      <c r="AH37" s="219">
        <f t="shared" si="18"/>
        <v>0</v>
      </c>
      <c r="AI37" s="219">
        <f t="shared" si="19"/>
        <v>0</v>
      </c>
      <c r="AJ37" s="219">
        <f t="shared" si="20"/>
        <v>0</v>
      </c>
      <c r="AK37" s="219">
        <f t="shared" si="21"/>
        <v>0</v>
      </c>
      <c r="AL37" s="219">
        <f t="shared" si="22"/>
        <v>0</v>
      </c>
      <c r="AM37" s="219">
        <f t="shared" si="23"/>
        <v>0</v>
      </c>
      <c r="AN37" s="301">
        <f t="shared" si="24"/>
        <v>0</v>
      </c>
      <c r="AO37" s="301">
        <f t="shared" si="25"/>
        <v>0</v>
      </c>
      <c r="AP37" s="301">
        <f t="shared" si="26"/>
        <v>0</v>
      </c>
      <c r="AQ37" s="301">
        <f t="shared" si="27"/>
        <v>0</v>
      </c>
      <c r="AR37" s="301">
        <f t="shared" si="28"/>
        <v>0</v>
      </c>
      <c r="AS37" s="301">
        <f t="shared" si="29"/>
        <v>0</v>
      </c>
      <c r="AT37" s="302">
        <f t="shared" si="30"/>
        <v>0</v>
      </c>
      <c r="AU37" s="302">
        <f t="shared" si="31"/>
        <v>0</v>
      </c>
      <c r="AV37" s="81">
        <f t="shared" si="32"/>
        <v>0</v>
      </c>
      <c r="AW37" s="82">
        <f t="shared" si="33"/>
        <v>0</v>
      </c>
      <c r="AX37" s="81">
        <f t="shared" si="34"/>
        <v>0</v>
      </c>
      <c r="AY37" s="83">
        <f t="shared" si="35"/>
        <v>0</v>
      </c>
      <c r="AZ37" s="83">
        <f t="shared" si="36"/>
        <v>0</v>
      </c>
      <c r="BA37" s="82">
        <f>IF(OR(B37=Feiertage!$A$16,B37=Feiertage!$A$19),U37*Zuschläge_24_31/100,IF(AZ37&gt;0,AZ37*Feiertag_mit/100,IF(AX37&gt;0,AX37*Zuschläge_Sa/100,IF(AY37&gt;0,AY37*Zuschlag_So/100,0))))</f>
        <v>0</v>
      </c>
      <c r="BB37" s="82">
        <f>IF(AND(B37&lt;&gt;0,G37=Voreinstellung_Übersicht!$D$41),IF(EG=1,W37*Über_klein/100,IF(EG=2,W37*Über_groß/100,"Fehler")),0)</f>
        <v>0</v>
      </c>
      <c r="BC37" s="299">
        <f t="shared" ca="1" si="41"/>
        <v>0</v>
      </c>
      <c r="BD37" s="219">
        <f t="shared" ca="1" si="37"/>
        <v>1</v>
      </c>
      <c r="BE37" s="303">
        <f ca="1">IF(B37="","",INDIRECT(ADDRESS(MATCH(B37,Soll_AZ,1)+MATCH("Arbeitszeit 1 ab",Voreinstellung_Übersicht!B:B,0)-1,4,,,"Voreinstellung_Übersicht"),TRUE))</f>
        <v>1.6666666666666665</v>
      </c>
      <c r="BF37" s="1">
        <f t="shared" si="42"/>
        <v>0</v>
      </c>
    </row>
    <row r="38" spans="1:104" s="172" customFormat="1" ht="15" x14ac:dyDescent="0.3">
      <c r="A38" s="229">
        <f t="shared" si="0"/>
        <v>35</v>
      </c>
      <c r="B38" s="217">
        <f t="shared" si="38"/>
        <v>42246</v>
      </c>
      <c r="C38" s="230">
        <f t="shared" si="1"/>
        <v>0</v>
      </c>
      <c r="D38" s="231" t="str">
        <f t="shared" si="2"/>
        <v/>
      </c>
      <c r="E38" s="304" t="str">
        <f t="shared" si="3"/>
        <v/>
      </c>
      <c r="F38" s="216">
        <f t="shared" si="4"/>
        <v>42246</v>
      </c>
      <c r="G38" s="147"/>
      <c r="H38" s="77"/>
      <c r="I38" s="75"/>
      <c r="J38" s="221">
        <f t="shared" si="5"/>
        <v>0</v>
      </c>
      <c r="K38" s="76"/>
      <c r="L38" s="221">
        <f t="shared" si="43"/>
        <v>0</v>
      </c>
      <c r="M38" s="77"/>
      <c r="N38" s="215"/>
      <c r="O38" s="232">
        <f t="shared" si="6"/>
        <v>0</v>
      </c>
      <c r="P38" s="78"/>
      <c r="Q38" s="221">
        <f t="shared" si="44"/>
        <v>0</v>
      </c>
      <c r="R38" s="221">
        <f t="shared" si="45"/>
        <v>0</v>
      </c>
      <c r="S38" s="221">
        <f t="shared" si="7"/>
        <v>0</v>
      </c>
      <c r="T38" s="79">
        <f t="shared" si="8"/>
        <v>0</v>
      </c>
      <c r="U38" s="79">
        <f t="shared" si="39"/>
        <v>0</v>
      </c>
      <c r="V38" s="80">
        <f t="shared" ca="1" si="9"/>
        <v>0</v>
      </c>
      <c r="W38" s="249" t="str">
        <f t="shared" ca="1" si="10"/>
        <v/>
      </c>
      <c r="X38" s="294"/>
      <c r="Y38" s="221">
        <f t="shared" si="11"/>
        <v>0</v>
      </c>
      <c r="Z38" s="299">
        <f ca="1">IF(B38="","",INDIRECT(ADDRESS(MATCH(B38,Soll_AZ,1)+MATCH("Arbeitszeit 1 ab",Voreinstellung_Übersicht!B:B,0)-1,WEEKDAY(B38,2)+4,,,"Voreinstellung_Übersicht"),TRUE))</f>
        <v>0</v>
      </c>
      <c r="AA38" s="300">
        <f t="shared" ca="1" si="40"/>
        <v>0</v>
      </c>
      <c r="AB38" s="219">
        <f t="shared" si="12"/>
        <v>0</v>
      </c>
      <c r="AC38" s="219">
        <f t="shared" si="13"/>
        <v>0</v>
      </c>
      <c r="AD38" s="219">
        <f t="shared" si="14"/>
        <v>0</v>
      </c>
      <c r="AE38" s="219">
        <f t="shared" si="15"/>
        <v>0</v>
      </c>
      <c r="AF38" s="219">
        <f t="shared" si="16"/>
        <v>0</v>
      </c>
      <c r="AG38" s="219">
        <f t="shared" si="17"/>
        <v>0</v>
      </c>
      <c r="AH38" s="219">
        <f t="shared" si="18"/>
        <v>0</v>
      </c>
      <c r="AI38" s="219">
        <f t="shared" si="19"/>
        <v>0</v>
      </c>
      <c r="AJ38" s="219">
        <f t="shared" si="20"/>
        <v>0</v>
      </c>
      <c r="AK38" s="219">
        <f t="shared" si="21"/>
        <v>0</v>
      </c>
      <c r="AL38" s="219">
        <f t="shared" si="22"/>
        <v>0</v>
      </c>
      <c r="AM38" s="219">
        <f t="shared" si="23"/>
        <v>0</v>
      </c>
      <c r="AN38" s="301">
        <f t="shared" si="24"/>
        <v>0</v>
      </c>
      <c r="AO38" s="301">
        <f t="shared" si="25"/>
        <v>0</v>
      </c>
      <c r="AP38" s="301">
        <f t="shared" si="26"/>
        <v>0</v>
      </c>
      <c r="AQ38" s="301">
        <f t="shared" si="27"/>
        <v>0</v>
      </c>
      <c r="AR38" s="301">
        <f t="shared" si="28"/>
        <v>0</v>
      </c>
      <c r="AS38" s="301">
        <f t="shared" si="29"/>
        <v>0</v>
      </c>
      <c r="AT38" s="302">
        <f t="shared" si="30"/>
        <v>0</v>
      </c>
      <c r="AU38" s="302">
        <f t="shared" si="31"/>
        <v>0</v>
      </c>
      <c r="AV38" s="81">
        <f t="shared" si="32"/>
        <v>0</v>
      </c>
      <c r="AW38" s="82">
        <f t="shared" si="33"/>
        <v>0</v>
      </c>
      <c r="AX38" s="81">
        <f t="shared" si="34"/>
        <v>0</v>
      </c>
      <c r="AY38" s="212">
        <f t="shared" si="35"/>
        <v>0</v>
      </c>
      <c r="AZ38" s="212">
        <f t="shared" si="36"/>
        <v>0</v>
      </c>
      <c r="BA38" s="213">
        <f>IF(OR(B38=Feiertage!$A$16,B38=Feiertage!$A$19),U38*Zuschläge_24_31/100,IF(AZ38&gt;0,AZ38*Feiertag_mit/100,IF(AX38&gt;0,AX38*Zuschläge_Sa/100,IF(AY38&gt;0,AY38*Zuschlag_So/100,0))))</f>
        <v>0</v>
      </c>
      <c r="BB38" s="213">
        <f>IF(AND(B38&lt;&gt;0,G38=Voreinstellung_Übersicht!$D$41),IF(EG=1,W38*Über_klein/100,IF(EG=2,W38*Über_groß/100,"Fehler")),0)</f>
        <v>0</v>
      </c>
      <c r="BC38" s="305">
        <f t="shared" ca="1" si="41"/>
        <v>0</v>
      </c>
      <c r="BD38" s="219">
        <f t="shared" ca="1" si="37"/>
        <v>1</v>
      </c>
      <c r="BE38" s="306">
        <f ca="1">IF(B38="","",INDIRECT(ADDRESS(MATCH(B38,Soll_AZ,1)+MATCH("Arbeitszeit 1 ab",Voreinstellung_Übersicht!B:B,0)-1,4,,,"Voreinstellung_Übersicht"),TRUE))</f>
        <v>1.6666666666666665</v>
      </c>
      <c r="BF38" s="1">
        <f t="shared" si="42"/>
        <v>0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5" x14ac:dyDescent="0.25">
      <c r="A39" s="233"/>
      <c r="B39" s="233"/>
      <c r="C39" s="233"/>
      <c r="D39" s="233"/>
      <c r="E39" s="233"/>
      <c r="F39" s="488" t="s">
        <v>49</v>
      </c>
      <c r="G39" s="489"/>
      <c r="H39" s="482" t="s">
        <v>171</v>
      </c>
      <c r="I39" s="483"/>
      <c r="J39" s="307"/>
      <c r="K39" s="308">
        <f>AB39</f>
        <v>0</v>
      </c>
      <c r="L39" s="221"/>
      <c r="M39" s="206"/>
      <c r="N39" s="206"/>
      <c r="O39" s="221"/>
      <c r="P39" s="206"/>
      <c r="Q39" s="221"/>
      <c r="R39" s="221"/>
      <c r="S39" s="221"/>
      <c r="T39" s="479" t="s">
        <v>172</v>
      </c>
      <c r="U39" s="482" t="s">
        <v>171</v>
      </c>
      <c r="V39" s="483"/>
      <c r="W39" s="234">
        <f ca="1">Jul!W41</f>
        <v>0</v>
      </c>
      <c r="X39" s="309"/>
      <c r="Y39" s="221" t="s">
        <v>173</v>
      </c>
      <c r="Z39" s="299" t="s">
        <v>174</v>
      </c>
      <c r="AA39" s="300"/>
      <c r="AB39" s="219">
        <f>Jul!AB41</f>
        <v>0</v>
      </c>
      <c r="AC39" s="219">
        <f>Jul!AC41</f>
        <v>0</v>
      </c>
      <c r="AD39" s="219">
        <f>Jul!AD41</f>
        <v>0</v>
      </c>
      <c r="AE39" s="219">
        <f>Jul!AE41</f>
        <v>0</v>
      </c>
      <c r="AF39" s="219">
        <f>Jul!AF41</f>
        <v>0</v>
      </c>
      <c r="AG39" s="219">
        <f>Jul!AG41</f>
        <v>0</v>
      </c>
      <c r="AH39" s="219">
        <f>Jul!AH41</f>
        <v>0</v>
      </c>
      <c r="AI39" s="219">
        <f>Jul!AI41</f>
        <v>0</v>
      </c>
      <c r="AJ39" s="219">
        <f>Jul!AJ41</f>
        <v>0</v>
      </c>
      <c r="AK39" s="219">
        <f>Jul!AK41</f>
        <v>0</v>
      </c>
      <c r="AL39" s="219">
        <f>Jul!AL41</f>
        <v>0</v>
      </c>
      <c r="AM39" s="219">
        <f>Jul!AM41</f>
        <v>0</v>
      </c>
      <c r="AN39" s="301"/>
      <c r="AO39" s="301"/>
      <c r="AP39" s="301"/>
      <c r="AQ39" s="301"/>
      <c r="AR39" s="301"/>
      <c r="AS39" s="301"/>
      <c r="AT39" s="302"/>
      <c r="AU39" s="302"/>
      <c r="AV39" s="484" t="s">
        <v>176</v>
      </c>
      <c r="AW39" s="234">
        <f>Voreinstellung_Übersicht!H12</f>
        <v>0</v>
      </c>
      <c r="AX39" s="310">
        <f>IF(AZ_Konto,SUM(AW8:AW38),0)</f>
        <v>0</v>
      </c>
      <c r="AY39" s="311"/>
      <c r="AZ39" s="312"/>
      <c r="BA39" s="311">
        <f>IF(AZ_Konto,SUM(BA8:BA38),0)</f>
        <v>0</v>
      </c>
      <c r="BB39" s="311">
        <f>IF(AZ_Konto,SUM(BB8:BB38),0)</f>
        <v>0</v>
      </c>
      <c r="BC39" s="299">
        <f ca="1">BC38</f>
        <v>0</v>
      </c>
      <c r="BD39" s="219"/>
      <c r="BE39" s="303"/>
      <c r="BF39"/>
    </row>
    <row r="40" spans="1:104" ht="15" x14ac:dyDescent="0.25">
      <c r="A40" s="233"/>
      <c r="B40" s="233"/>
      <c r="C40" s="233"/>
      <c r="D40" s="233"/>
      <c r="E40" s="233"/>
      <c r="F40" s="488"/>
      <c r="G40" s="490"/>
      <c r="H40" s="482" t="s">
        <v>177</v>
      </c>
      <c r="I40" s="483"/>
      <c r="J40" s="235"/>
      <c r="K40" s="236">
        <f>-AB40</f>
        <v>0</v>
      </c>
      <c r="L40" s="221"/>
      <c r="M40" s="206"/>
      <c r="N40" s="206"/>
      <c r="O40" s="221"/>
      <c r="P40" s="206"/>
      <c r="Q40" s="221"/>
      <c r="R40" s="221"/>
      <c r="S40" s="221"/>
      <c r="T40" s="480"/>
      <c r="U40" s="482" t="s">
        <v>177</v>
      </c>
      <c r="V40" s="483"/>
      <c r="W40" s="237">
        <f ca="1">SUM(W8:W38)</f>
        <v>0</v>
      </c>
      <c r="X40" s="309"/>
      <c r="Y40" s="221">
        <f>SUM(Y8:Y38)</f>
        <v>0</v>
      </c>
      <c r="Z40" s="299">
        <f ca="1">SUM(Z8:Z38)</f>
        <v>7.3333333333333304</v>
      </c>
      <c r="AA40" s="300"/>
      <c r="AB40" s="219">
        <f t="shared" ref="AB40:AM40" si="46">SUM(AB8:AB38)</f>
        <v>0</v>
      </c>
      <c r="AC40" s="219">
        <f t="shared" si="46"/>
        <v>0</v>
      </c>
      <c r="AD40" s="219">
        <f t="shared" si="46"/>
        <v>0</v>
      </c>
      <c r="AE40" s="219">
        <f t="shared" si="46"/>
        <v>0</v>
      </c>
      <c r="AF40" s="219">
        <f t="shared" si="46"/>
        <v>0</v>
      </c>
      <c r="AG40" s="219">
        <f t="shared" si="46"/>
        <v>0</v>
      </c>
      <c r="AH40" s="219">
        <f t="shared" si="46"/>
        <v>0</v>
      </c>
      <c r="AI40" s="219">
        <f t="shared" si="46"/>
        <v>0</v>
      </c>
      <c r="AJ40" s="219">
        <f t="shared" si="46"/>
        <v>0</v>
      </c>
      <c r="AK40" s="219">
        <f t="shared" si="46"/>
        <v>0</v>
      </c>
      <c r="AL40" s="219">
        <f t="shared" si="46"/>
        <v>0</v>
      </c>
      <c r="AM40" s="219">
        <f t="shared" si="46"/>
        <v>0</v>
      </c>
      <c r="AN40" s="301"/>
      <c r="AO40" s="301"/>
      <c r="AP40" s="301"/>
      <c r="AQ40" s="301"/>
      <c r="AR40" s="301"/>
      <c r="AS40" s="301"/>
      <c r="AT40" s="302"/>
      <c r="AU40" s="302"/>
      <c r="AV40" s="485"/>
      <c r="AW40" s="237" t="str">
        <f>IF(SUM(AX39,BA39,BB39)&gt;0,SUM(AX39,BA39,BB39),"")</f>
        <v/>
      </c>
      <c r="AX40" s="313"/>
      <c r="AY40" s="313"/>
      <c r="AZ40" s="313"/>
      <c r="BA40" s="313"/>
      <c r="BB40" s="313"/>
      <c r="BC40" s="299"/>
      <c r="BD40" s="219"/>
      <c r="BE40" s="303"/>
      <c r="BF40"/>
    </row>
    <row r="41" spans="1:104" ht="15" x14ac:dyDescent="0.25">
      <c r="A41" s="233"/>
      <c r="B41" s="233"/>
      <c r="C41" s="233"/>
      <c r="D41" s="233"/>
      <c r="E41" s="233"/>
      <c r="F41" s="491"/>
      <c r="G41" s="492"/>
      <c r="H41" s="482" t="s">
        <v>178</v>
      </c>
      <c r="I41" s="483"/>
      <c r="J41" s="238"/>
      <c r="K41" s="239">
        <f>AB41</f>
        <v>0</v>
      </c>
      <c r="L41" s="221"/>
      <c r="M41" s="206"/>
      <c r="N41" s="206"/>
      <c r="O41" s="221"/>
      <c r="P41" s="206"/>
      <c r="Q41" s="221"/>
      <c r="R41" s="221"/>
      <c r="S41" s="221"/>
      <c r="T41" s="481"/>
      <c r="U41" s="482" t="s">
        <v>178</v>
      </c>
      <c r="V41" s="483"/>
      <c r="W41" s="240">
        <f ca="1">SUM(W39:W40)</f>
        <v>0</v>
      </c>
      <c r="X41" s="309"/>
      <c r="Y41" s="221"/>
      <c r="Z41" s="299"/>
      <c r="AA41" s="300"/>
      <c r="AB41" s="219">
        <f>AB39-AB40</f>
        <v>0</v>
      </c>
      <c r="AC41" s="219">
        <f t="shared" ref="AC41:AM41" si="47">SUM(AC39:AC40)</f>
        <v>0</v>
      </c>
      <c r="AD41" s="219">
        <f t="shared" si="47"/>
        <v>0</v>
      </c>
      <c r="AE41" s="219">
        <f t="shared" si="47"/>
        <v>0</v>
      </c>
      <c r="AF41" s="219">
        <f t="shared" si="47"/>
        <v>0</v>
      </c>
      <c r="AG41" s="219">
        <f t="shared" si="47"/>
        <v>0</v>
      </c>
      <c r="AH41" s="219">
        <f t="shared" si="47"/>
        <v>0</v>
      </c>
      <c r="AI41" s="219">
        <f t="shared" si="47"/>
        <v>0</v>
      </c>
      <c r="AJ41" s="219">
        <f t="shared" si="47"/>
        <v>0</v>
      </c>
      <c r="AK41" s="219">
        <f t="shared" si="47"/>
        <v>0</v>
      </c>
      <c r="AL41" s="219">
        <f t="shared" si="47"/>
        <v>0</v>
      </c>
      <c r="AM41" s="219">
        <f t="shared" si="47"/>
        <v>0</v>
      </c>
      <c r="AN41" s="301"/>
      <c r="AO41" s="301"/>
      <c r="AP41" s="301"/>
      <c r="AQ41" s="301"/>
      <c r="AR41" s="301"/>
      <c r="AS41" s="301"/>
      <c r="AT41" s="302"/>
      <c r="AU41" s="302"/>
      <c r="AV41" s="486"/>
      <c r="AW41" s="240">
        <f>SUM(AW39:AW40)</f>
        <v>0</v>
      </c>
      <c r="AX41" s="314"/>
      <c r="AY41" s="314"/>
      <c r="AZ41" s="314"/>
      <c r="BA41" s="314"/>
      <c r="BB41" s="314"/>
      <c r="BC41" s="299"/>
      <c r="BD41" s="219"/>
      <c r="BE41" s="303"/>
      <c r="BF41"/>
    </row>
    <row r="42" spans="1:104" s="1" customFormat="1" ht="15" x14ac:dyDescent="0.3">
      <c r="A42" s="88"/>
      <c r="B42" s="47"/>
      <c r="C42" s="6"/>
      <c r="D42" s="89"/>
      <c r="E42" s="90"/>
      <c r="F42" s="487" t="s">
        <v>179</v>
      </c>
      <c r="G42" s="487"/>
      <c r="H42" s="487"/>
      <c r="I42" s="487"/>
      <c r="J42" s="347"/>
      <c r="K42" s="186">
        <f>NETWORKDAYS(B8,B38,Feiertage)</f>
        <v>22</v>
      </c>
      <c r="L42" s="331"/>
      <c r="M42" s="330"/>
      <c r="N42" s="330"/>
      <c r="O42" s="331"/>
      <c r="P42" s="330"/>
      <c r="Q42" s="331"/>
      <c r="R42" s="331"/>
      <c r="S42" s="331"/>
      <c r="T42" s="332"/>
      <c r="U42" s="332"/>
      <c r="V42" s="332"/>
      <c r="W42" s="332"/>
      <c r="X42" s="333"/>
      <c r="Y42" s="331"/>
      <c r="Z42" s="334"/>
      <c r="AA42" s="335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7"/>
      <c r="AO42" s="337"/>
      <c r="AP42" s="337"/>
      <c r="AQ42" s="337"/>
      <c r="AR42" s="337"/>
      <c r="AS42" s="337"/>
      <c r="AT42" s="338"/>
      <c r="AU42" s="338"/>
      <c r="AV42" s="339"/>
      <c r="AW42" s="340"/>
      <c r="AX42" s="83"/>
      <c r="AY42" s="83"/>
      <c r="AZ42" s="83"/>
      <c r="BA42" s="173"/>
      <c r="BB42" s="173"/>
      <c r="BC42" s="15"/>
      <c r="BD42" s="6"/>
      <c r="BE42" s="169"/>
    </row>
    <row r="43" spans="1:104" s="1" customFormat="1" ht="15" x14ac:dyDescent="0.3">
      <c r="A43" s="11"/>
      <c r="B43" s="47"/>
      <c r="C43" s="6"/>
      <c r="D43" s="6"/>
      <c r="E43" s="12"/>
      <c r="F43" s="487" t="s">
        <v>180</v>
      </c>
      <c r="G43" s="487"/>
      <c r="H43" s="487"/>
      <c r="I43" s="487"/>
      <c r="J43" s="348"/>
      <c r="K43" s="186">
        <f>SUM(BF8:BF38)</f>
        <v>0</v>
      </c>
      <c r="L43" s="336"/>
      <c r="M43" s="341"/>
      <c r="N43" s="341"/>
      <c r="O43" s="336"/>
      <c r="P43" s="341"/>
      <c r="Q43" s="336"/>
      <c r="R43" s="336"/>
      <c r="S43" s="336"/>
      <c r="T43" s="341"/>
      <c r="U43" s="341"/>
      <c r="V43" s="341"/>
      <c r="W43" s="341"/>
      <c r="X43" s="342"/>
      <c r="Y43" s="331"/>
      <c r="Z43" s="343"/>
      <c r="AA43" s="344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45"/>
      <c r="AO43" s="336"/>
      <c r="AP43" s="336"/>
      <c r="AQ43" s="336"/>
      <c r="AR43" s="336"/>
      <c r="AS43" s="336"/>
      <c r="AT43" s="346"/>
      <c r="AU43" s="346"/>
      <c r="AV43" s="341"/>
      <c r="AW43" s="341"/>
      <c r="AX43" s="26"/>
      <c r="AY43" s="26"/>
      <c r="AZ43" s="26"/>
      <c r="BA43" s="26"/>
      <c r="BC43" s="6"/>
      <c r="BD43" s="6"/>
      <c r="BE43" s="6"/>
    </row>
    <row r="45" spans="1:104" x14ac:dyDescent="0.3">
      <c r="A45" s="11"/>
      <c r="B45" s="47"/>
      <c r="C45" s="6"/>
      <c r="D45" s="6"/>
      <c r="E45" s="12"/>
      <c r="F45" s="329"/>
      <c r="G45" s="329"/>
      <c r="H45" s="341"/>
      <c r="I45" s="341"/>
      <c r="J45" s="336"/>
      <c r="K45" s="341"/>
      <c r="L45" s="336"/>
      <c r="M45" s="341"/>
      <c r="N45" s="341"/>
      <c r="O45" s="336"/>
      <c r="P45" s="341"/>
      <c r="Q45" s="336"/>
      <c r="R45" s="336"/>
      <c r="S45" s="336"/>
      <c r="T45" s="341"/>
      <c r="U45" s="341"/>
      <c r="V45" s="341"/>
      <c r="W45" s="341"/>
      <c r="X45" s="342"/>
      <c r="Y45" s="331"/>
      <c r="Z45" s="343"/>
      <c r="AA45" s="344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45"/>
      <c r="AO45" s="336"/>
      <c r="AP45" s="336"/>
      <c r="AQ45" s="336"/>
      <c r="AR45" s="336"/>
      <c r="AS45" s="336"/>
      <c r="AT45" s="346"/>
      <c r="AU45" s="346"/>
      <c r="AV45" s="341"/>
      <c r="AW45" s="341"/>
      <c r="AX45" s="26"/>
      <c r="AY45" s="26"/>
      <c r="AZ45" s="26"/>
      <c r="BA45" s="26"/>
      <c r="BB45" s="1"/>
      <c r="BC45" s="6"/>
      <c r="BD45" s="6"/>
      <c r="BE45" s="6"/>
      <c r="BG45" s="1"/>
    </row>
    <row r="46" spans="1:104" x14ac:dyDescent="0.3">
      <c r="A46" s="11"/>
      <c r="B46" s="47"/>
      <c r="C46" s="6"/>
      <c r="D46" s="6"/>
      <c r="E46" s="12"/>
      <c r="F46" s="329"/>
      <c r="G46" s="329"/>
      <c r="H46" s="341"/>
      <c r="I46" s="341"/>
      <c r="J46" s="336"/>
      <c r="K46" s="341"/>
      <c r="L46" s="336"/>
      <c r="M46" s="341"/>
      <c r="N46" s="341"/>
      <c r="O46" s="336"/>
      <c r="P46" s="341"/>
      <c r="Q46" s="336"/>
      <c r="R46" s="336"/>
      <c r="S46" s="336"/>
      <c r="T46" s="341"/>
      <c r="U46" s="341"/>
      <c r="V46" s="341"/>
      <c r="W46" s="341"/>
      <c r="X46" s="342"/>
      <c r="Y46" s="331"/>
      <c r="Z46" s="343"/>
      <c r="AA46" s="344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45"/>
      <c r="AO46" s="336"/>
      <c r="AP46" s="336"/>
      <c r="AQ46" s="336"/>
      <c r="AR46" s="336"/>
      <c r="AS46" s="336"/>
      <c r="AT46" s="346"/>
      <c r="AU46" s="346"/>
      <c r="AV46" s="341"/>
      <c r="AW46" s="341"/>
      <c r="AX46" s="26"/>
      <c r="AY46" s="26"/>
      <c r="AZ46" s="26"/>
      <c r="BA46" s="26"/>
      <c r="BB46" s="1"/>
      <c r="BC46" s="6"/>
      <c r="BD46" s="6"/>
      <c r="BE46" s="6"/>
      <c r="BG46" s="1"/>
    </row>
    <row r="47" spans="1:104" x14ac:dyDescent="0.3">
      <c r="A47" s="11"/>
      <c r="B47" s="47"/>
      <c r="C47" s="6"/>
      <c r="D47" s="6"/>
      <c r="E47" s="12"/>
      <c r="F47" s="329"/>
      <c r="G47" s="329"/>
      <c r="H47" s="341"/>
      <c r="I47" s="341"/>
      <c r="J47" s="336"/>
      <c r="K47" s="341"/>
      <c r="L47" s="336"/>
      <c r="M47" s="341"/>
      <c r="N47" s="341"/>
      <c r="O47" s="336"/>
      <c r="P47" s="341"/>
      <c r="Q47" s="336"/>
      <c r="R47" s="336"/>
      <c r="S47" s="336"/>
      <c r="T47" s="341"/>
      <c r="U47" s="341"/>
      <c r="V47" s="341"/>
      <c r="W47" s="341"/>
      <c r="X47" s="342"/>
      <c r="Y47" s="331"/>
      <c r="Z47" s="343"/>
      <c r="AA47" s="344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45"/>
      <c r="AO47" s="336"/>
      <c r="AP47" s="336"/>
      <c r="AQ47" s="336"/>
      <c r="AR47" s="336"/>
      <c r="AS47" s="336"/>
      <c r="AT47" s="346"/>
      <c r="AU47" s="346"/>
      <c r="AV47" s="341"/>
      <c r="AW47" s="341"/>
      <c r="AX47" s="26"/>
      <c r="AY47" s="26"/>
      <c r="AZ47" s="26"/>
      <c r="BA47" s="26"/>
      <c r="BB47" s="1"/>
      <c r="BC47" s="6"/>
      <c r="BD47" s="6"/>
      <c r="BE47" s="6"/>
      <c r="BG47" s="1"/>
    </row>
  </sheetData>
  <sheetProtection algorithmName="SHA-512" hashValue="TY/gvi9ajmioWFmEsT/fN4iUKg9SDihCXdoRYbQP7yW0DHQnTAL9uJpEFu9wZQMowe7KVVmkDByjUVOpAeNhFg==" saltValue="b1+eHH23zdeGRnPCAygVsA==" spinCount="100000" sheet="1" objects="1" scenarios="1" formatCells="0" selectLockedCells="1"/>
  <mergeCells count="26">
    <mergeCell ref="F42:I42"/>
    <mergeCell ref="F43:I43"/>
    <mergeCell ref="AX6:BA6"/>
    <mergeCell ref="F39:G41"/>
    <mergeCell ref="H39:I39"/>
    <mergeCell ref="T39:T41"/>
    <mergeCell ref="U39:V39"/>
    <mergeCell ref="H40:I40"/>
    <mergeCell ref="U40:V40"/>
    <mergeCell ref="H41:I41"/>
    <mergeCell ref="U41:V41"/>
    <mergeCell ref="H6:P6"/>
    <mergeCell ref="AA3:AA6"/>
    <mergeCell ref="AN6:AS6"/>
    <mergeCell ref="AT6:AU6"/>
    <mergeCell ref="AV6:AW6"/>
    <mergeCell ref="F6:F7"/>
    <mergeCell ref="AV39:AV41"/>
    <mergeCell ref="G6:G7"/>
    <mergeCell ref="AN2:AS4"/>
    <mergeCell ref="AT2:AU4"/>
    <mergeCell ref="E2:G2"/>
    <mergeCell ref="H2:I2"/>
    <mergeCell ref="E3:G3"/>
    <mergeCell ref="H3:I3"/>
    <mergeCell ref="E4:G4"/>
  </mergeCells>
  <conditionalFormatting sqref="B7:E7 B8:F39 B40:E41 B5:F6">
    <cfRule type="expression" dxfId="110" priority="15">
      <formula>AND($C5=0,NOT($C5=""))</formula>
    </cfRule>
  </conditionalFormatting>
  <conditionalFormatting sqref="B6:F6 B7:E7 BB6:BB41 B39:F39 B40:E41 H39:H41 J39:U39 J40:S41 U40:U41 W40:AU41 AW40:BA41 F41:G41 I41 T41 V41 AV41 B8:BA38 H6:BA7 B5:BA5 W39:BA39">
    <cfRule type="expression" dxfId="109" priority="16">
      <formula>AND($C5=0,NOT($C5=""))</formula>
    </cfRule>
  </conditionalFormatting>
  <conditionalFormatting sqref="G6 BC8:BC37">
    <cfRule type="expression" dxfId="108" priority="20">
      <formula>AND($C7=0,NOT($C7=""))</formula>
    </cfRule>
  </conditionalFormatting>
  <conditionalFormatting sqref="BC38:BC41">
    <cfRule type="expression" dxfId="107" priority="21">
      <formula>AND(#REF!=0,NOT(#REF!=""))</formula>
    </cfRule>
  </conditionalFormatting>
  <conditionalFormatting sqref="W8:X41 BC8:BD41">
    <cfRule type="expression" dxfId="106" priority="12">
      <formula>$BD8=3</formula>
    </cfRule>
    <cfRule type="expression" dxfId="105" priority="13">
      <formula>$BD8=2</formula>
    </cfRule>
  </conditionalFormatting>
  <conditionalFormatting sqref="W8:W41 BC8:BD41">
    <cfRule type="expression" dxfId="104" priority="14">
      <formula>$BD8=1</formula>
    </cfRule>
  </conditionalFormatting>
  <conditionalFormatting sqref="A8:BB38">
    <cfRule type="expression" dxfId="103" priority="11">
      <formula>$R$1=TRUE</formula>
    </cfRule>
  </conditionalFormatting>
  <conditionalFormatting sqref="B1:F4">
    <cfRule type="expression" dxfId="102" priority="7">
      <formula>AND($C1=0,NOT($C1=""))</formula>
    </cfRule>
  </conditionalFormatting>
  <conditionalFormatting sqref="B1:BA4">
    <cfRule type="expression" dxfId="101" priority="8">
      <formula>AND($C1=0,NOT($C1=""))</formula>
    </cfRule>
  </conditionalFormatting>
  <conditionalFormatting sqref="B42:F42">
    <cfRule type="expression" dxfId="100" priority="4">
      <formula>AND($C42=0,NOT($C42=""))</formula>
    </cfRule>
  </conditionalFormatting>
  <conditionalFormatting sqref="BB42">
    <cfRule type="expression" dxfId="99" priority="5">
      <formula>AND($C42=0,NOT($C42=""))</formula>
    </cfRule>
  </conditionalFormatting>
  <conditionalFormatting sqref="BC42">
    <cfRule type="expression" dxfId="98" priority="6">
      <formula>AND(#REF!=0,NOT(#REF!=""))</formula>
    </cfRule>
  </conditionalFormatting>
  <conditionalFormatting sqref="BC42:BD42">
    <cfRule type="expression" dxfId="97" priority="1">
      <formula>$BD42=3</formula>
    </cfRule>
    <cfRule type="expression" dxfId="96" priority="2">
      <formula>$BD42=2</formula>
    </cfRule>
  </conditionalFormatting>
  <conditionalFormatting sqref="BC42:BD42">
    <cfRule type="expression" dxfId="95" priority="3">
      <formula>$BD42=1</formula>
    </cfRule>
  </conditionalFormatting>
  <dataValidations count="2">
    <dataValidation type="list" allowBlank="1" showInputMessage="1" showErrorMessage="1" sqref="G8:G38">
      <formula1>Code_Liste</formula1>
    </dataValidation>
    <dataValidation type="time" allowBlank="1" showInputMessage="1" showErrorMessage="1" sqref="H8:I12 K8:K12">
      <formula1>$R$6</formula1>
      <formula2>$S$6</formula2>
    </dataValidation>
  </dataValidations>
  <pageMargins left="0.70866141732283472" right="0.70866141732283472" top="0.78740157480314965" bottom="0.78740157480314965" header="0.31496062992125984" footer="0.31496062992125984"/>
  <pageSetup paperSize="9" scale="6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stopIfTrue="1" id="{906B1D69-E2A6-49C1-9BAE-083967A842AA}">
            <xm:f>Voreinstellung_Übersicht!$R$14=3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19" stopIfTrue="1" id="{480F2E8A-BCB2-4043-ABE4-565DE1BC7F05}">
            <xm:f>Voreinstellung_Übersicht!$R$14=2</xm:f>
            <x14:dxf>
              <fill>
                <patternFill>
                  <bgColor rgb="FFFFC000"/>
                </patternFill>
              </fill>
            </x14:dxf>
          </x14:cfRule>
          <xm:sqref>W7:X41</xm:sqref>
        </x14:conditionalFormatting>
        <x14:conditionalFormatting xmlns:xm="http://schemas.microsoft.com/office/excel/2006/main">
          <x14:cfRule type="expression" priority="17" stopIfTrue="1" id="{3C193C0F-734E-446B-B506-635BDBC893CE}">
            <xm:f>Voreinstellung_Übersicht!$R$14=1</xm:f>
            <x14:dxf>
              <fill>
                <patternFill>
                  <bgColor theme="9" tint="0.59996337778862885"/>
                </patternFill>
              </fill>
            </x14:dxf>
          </x14:cfRule>
          <xm:sqref>W7:W41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7"/>
  <sheetViews>
    <sheetView zoomScale="80" zoomScaleNormal="80" workbookViewId="0">
      <selection activeCell="G8" sqref="G8"/>
    </sheetView>
  </sheetViews>
  <sheetFormatPr baseColWidth="10" defaultColWidth="11.42578125" defaultRowHeight="15.75" x14ac:dyDescent="0.3"/>
  <cols>
    <col min="1" max="1" width="5.5703125" customWidth="1"/>
    <col min="2" max="2" width="12.7109375" bestFit="1" customWidth="1"/>
    <col min="3" max="4" width="0" hidden="1" customWidth="1"/>
    <col min="5" max="5" width="15.7109375" style="242" customWidth="1"/>
    <col min="6" max="6" width="6.28515625" customWidth="1"/>
    <col min="7" max="7" width="6" customWidth="1"/>
    <col min="8" max="9" width="11.5703125" bestFit="1" customWidth="1"/>
    <col min="10" max="10" width="0" hidden="1" customWidth="1"/>
    <col min="11" max="11" width="11.42578125" customWidth="1"/>
    <col min="12" max="12" width="0" hidden="1" customWidth="1"/>
    <col min="13" max="14" width="11.5703125" bestFit="1" customWidth="1"/>
    <col min="15" max="15" width="0" hidden="1" customWidth="1"/>
    <col min="17" max="19" width="0" hidden="1" customWidth="1"/>
    <col min="20" max="21" width="11.5703125" bestFit="1" customWidth="1"/>
    <col min="24" max="24" width="25.7109375" customWidth="1"/>
    <col min="25" max="46" width="11.5703125" hidden="1" customWidth="1"/>
    <col min="47" max="47" width="11.42578125" hidden="1" customWidth="1"/>
    <col min="49" max="49" width="13.7109375" customWidth="1"/>
    <col min="53" max="53" width="13" customWidth="1"/>
    <col min="54" max="54" width="18.140625" customWidth="1"/>
    <col min="55" max="57" width="11.5703125" hidden="1" customWidth="1"/>
    <col min="58" max="58" width="11.5703125" style="1" hidden="1" customWidth="1"/>
  </cols>
  <sheetData>
    <row r="1" spans="1:58" s="1" customFormat="1" thickBot="1" x14ac:dyDescent="0.35">
      <c r="A1" s="26"/>
      <c r="B1" s="47"/>
      <c r="C1" s="6"/>
      <c r="D1" s="6"/>
      <c r="E1" s="12"/>
      <c r="F1" s="66"/>
      <c r="G1" s="66"/>
      <c r="H1" s="26"/>
      <c r="I1" s="26"/>
      <c r="J1" s="6"/>
      <c r="K1" s="26"/>
      <c r="L1" s="6"/>
      <c r="M1" s="26"/>
      <c r="N1" s="26"/>
      <c r="O1" s="6"/>
      <c r="P1" s="26"/>
      <c r="Q1" s="6" t="s">
        <v>123</v>
      </c>
      <c r="R1" s="315" t="b">
        <v>0</v>
      </c>
      <c r="S1" s="6"/>
      <c r="T1" s="26"/>
      <c r="U1" s="26"/>
      <c r="V1" s="26"/>
      <c r="W1" s="26"/>
      <c r="X1" s="48"/>
      <c r="Y1" s="7"/>
      <c r="Z1" s="8"/>
      <c r="AA1" s="17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3"/>
      <c r="AO1" s="6"/>
      <c r="AP1" s="6"/>
      <c r="AQ1" s="6"/>
      <c r="AR1" s="6"/>
      <c r="AS1" s="6"/>
      <c r="AT1" s="14"/>
      <c r="AU1" s="14"/>
      <c r="AV1" s="26"/>
      <c r="AW1" s="26"/>
      <c r="AX1" s="26"/>
      <c r="AY1" s="26"/>
      <c r="AZ1" s="26"/>
      <c r="BA1" s="26"/>
      <c r="BC1" s="6"/>
      <c r="BD1" s="6"/>
      <c r="BE1" s="6"/>
    </row>
    <row r="2" spans="1:58" s="1" customFormat="1" ht="16.5" customHeight="1" x14ac:dyDescent="0.3">
      <c r="A2" s="26"/>
      <c r="B2" s="71" t="s">
        <v>1</v>
      </c>
      <c r="C2" s="222" t="str">
        <f>Name</f>
        <v>Max Mustermann</v>
      </c>
      <c r="D2" s="222"/>
      <c r="E2" s="466" t="str">
        <f>C2</f>
        <v>Max Mustermann</v>
      </c>
      <c r="F2" s="466"/>
      <c r="G2" s="466"/>
      <c r="H2" s="471" t="s">
        <v>7</v>
      </c>
      <c r="I2" s="471"/>
      <c r="J2" s="222"/>
      <c r="K2" s="69">
        <f>Personalnummer</f>
        <v>123456789</v>
      </c>
      <c r="L2" s="219"/>
      <c r="M2" s="26"/>
      <c r="N2" s="26"/>
      <c r="O2" s="219"/>
      <c r="P2" s="26"/>
      <c r="Q2" s="219"/>
      <c r="R2" s="219"/>
      <c r="S2" s="219"/>
      <c r="T2" s="26"/>
      <c r="U2" s="26"/>
      <c r="V2" s="26"/>
      <c r="W2" s="26"/>
      <c r="X2" s="48"/>
      <c r="Y2" s="221"/>
      <c r="Z2" s="295"/>
      <c r="AA2" s="296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474"/>
      <c r="AO2" s="474"/>
      <c r="AP2" s="474"/>
      <c r="AQ2" s="474"/>
      <c r="AR2" s="474"/>
      <c r="AS2" s="474"/>
      <c r="AT2" s="470" t="s">
        <v>124</v>
      </c>
      <c r="AU2" s="470"/>
      <c r="AV2" s="26"/>
      <c r="AW2" s="26"/>
      <c r="AX2" s="26"/>
      <c r="AY2" s="26"/>
      <c r="AZ2" s="26"/>
      <c r="BA2" s="26"/>
      <c r="BB2" s="29"/>
      <c r="BC2" s="219"/>
      <c r="BD2" s="219"/>
      <c r="BE2" s="219"/>
    </row>
    <row r="3" spans="1:58" s="1" customFormat="1" ht="16.5" customHeight="1" x14ac:dyDescent="0.3">
      <c r="A3" s="26"/>
      <c r="B3" s="72" t="s">
        <v>125</v>
      </c>
      <c r="C3" s="223">
        <f>Jahr</f>
        <v>42004</v>
      </c>
      <c r="D3" s="223"/>
      <c r="E3" s="468">
        <f>Jahr</f>
        <v>42004</v>
      </c>
      <c r="F3" s="468"/>
      <c r="G3" s="468"/>
      <c r="H3" s="472" t="s">
        <v>5</v>
      </c>
      <c r="I3" s="472"/>
      <c r="J3" s="224"/>
      <c r="K3" s="70">
        <f>Geburtstag</f>
        <v>16833</v>
      </c>
      <c r="L3" s="219"/>
      <c r="M3" s="26"/>
      <c r="N3" s="26"/>
      <c r="O3" s="219"/>
      <c r="P3" s="26"/>
      <c r="Q3" s="219"/>
      <c r="R3" s="219"/>
      <c r="S3" s="219"/>
      <c r="T3" s="26"/>
      <c r="U3" s="26"/>
      <c r="V3" s="26"/>
      <c r="W3" s="26"/>
      <c r="X3" s="48"/>
      <c r="Y3" s="221"/>
      <c r="Z3" s="295"/>
      <c r="AA3" s="475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474"/>
      <c r="AO3" s="474"/>
      <c r="AP3" s="474"/>
      <c r="AQ3" s="474"/>
      <c r="AR3" s="474"/>
      <c r="AS3" s="474"/>
      <c r="AT3" s="470"/>
      <c r="AU3" s="470"/>
      <c r="AV3" s="26"/>
      <c r="AW3" s="26"/>
      <c r="AX3" s="26"/>
      <c r="AY3" s="26"/>
      <c r="AZ3" s="26"/>
      <c r="BA3" s="26"/>
      <c r="BB3" s="29"/>
      <c r="BC3" s="219"/>
      <c r="BD3" s="219"/>
      <c r="BE3" s="219"/>
    </row>
    <row r="4" spans="1:58" s="1" customFormat="1" ht="16.5" customHeight="1" thickBot="1" x14ac:dyDescent="0.35">
      <c r="A4" s="26"/>
      <c r="B4" s="322" t="s">
        <v>126</v>
      </c>
      <c r="C4" s="323">
        <f>Jahr</f>
        <v>42004</v>
      </c>
      <c r="D4" s="323"/>
      <c r="E4" s="467">
        <f>B8</f>
        <v>42247</v>
      </c>
      <c r="F4" s="467"/>
      <c r="G4" s="467"/>
      <c r="H4" s="324"/>
      <c r="I4" s="324"/>
      <c r="J4" s="325"/>
      <c r="K4" s="326"/>
      <c r="L4" s="219"/>
      <c r="M4" s="26"/>
      <c r="N4" s="26"/>
      <c r="O4" s="219"/>
      <c r="P4" s="26"/>
      <c r="Q4" s="219"/>
      <c r="R4" s="219"/>
      <c r="S4" s="219"/>
      <c r="T4" s="26"/>
      <c r="U4" s="26"/>
      <c r="V4" s="26"/>
      <c r="W4" s="26"/>
      <c r="X4" s="48"/>
      <c r="Y4" s="221"/>
      <c r="Z4" s="295"/>
      <c r="AA4" s="475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474"/>
      <c r="AO4" s="474"/>
      <c r="AP4" s="474"/>
      <c r="AQ4" s="474"/>
      <c r="AR4" s="474"/>
      <c r="AS4" s="474"/>
      <c r="AT4" s="470"/>
      <c r="AU4" s="470"/>
      <c r="AV4" s="26"/>
      <c r="AW4" s="26"/>
      <c r="AX4" s="26"/>
      <c r="AY4" s="26"/>
      <c r="AZ4" s="26"/>
      <c r="BA4" s="26"/>
      <c r="BB4" s="29"/>
      <c r="BC4" s="219"/>
      <c r="BD4" s="219"/>
      <c r="BE4" s="219"/>
    </row>
    <row r="5" spans="1:58" s="1" customFormat="1" ht="15" x14ac:dyDescent="0.3">
      <c r="A5" s="26"/>
      <c r="B5" s="73"/>
      <c r="C5" s="225"/>
      <c r="D5" s="225"/>
      <c r="E5" s="67"/>
      <c r="F5" s="67"/>
      <c r="G5" s="67"/>
      <c r="H5" s="68"/>
      <c r="I5" s="68"/>
      <c r="J5" s="226"/>
      <c r="K5" s="68"/>
      <c r="L5" s="219"/>
      <c r="M5" s="26"/>
      <c r="N5" s="26"/>
      <c r="O5" s="219"/>
      <c r="P5" s="26"/>
      <c r="Q5" s="219"/>
      <c r="R5" s="219"/>
      <c r="S5" s="219"/>
      <c r="T5" s="26"/>
      <c r="U5" s="26"/>
      <c r="V5" s="26"/>
      <c r="W5" s="26"/>
      <c r="X5" s="48"/>
      <c r="Y5" s="221"/>
      <c r="Z5" s="295"/>
      <c r="AA5" s="475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73"/>
      <c r="AO5" s="273"/>
      <c r="AP5" s="273"/>
      <c r="AQ5" s="273"/>
      <c r="AR5" s="273"/>
      <c r="AS5" s="273"/>
      <c r="AT5" s="272"/>
      <c r="AU5" s="272"/>
      <c r="AV5" s="26"/>
      <c r="AW5" s="26"/>
      <c r="AX5" s="26"/>
      <c r="AY5" s="26"/>
      <c r="AZ5" s="26"/>
      <c r="BA5" s="26"/>
      <c r="BB5" s="29"/>
      <c r="BC5" s="219"/>
      <c r="BD5" s="219"/>
      <c r="BE5" s="219"/>
    </row>
    <row r="6" spans="1:58" s="1" customFormat="1" ht="27.6" customHeight="1" x14ac:dyDescent="0.3">
      <c r="A6" s="227"/>
      <c r="B6" s="86"/>
      <c r="C6" s="228" t="s">
        <v>127</v>
      </c>
      <c r="D6" s="228" t="s">
        <v>81</v>
      </c>
      <c r="E6" s="297"/>
      <c r="F6" s="465" t="s">
        <v>128</v>
      </c>
      <c r="G6" s="476" t="s">
        <v>129</v>
      </c>
      <c r="H6" s="462" t="s">
        <v>130</v>
      </c>
      <c r="I6" s="464"/>
      <c r="J6" s="464"/>
      <c r="K6" s="464"/>
      <c r="L6" s="464"/>
      <c r="M6" s="464"/>
      <c r="N6" s="464"/>
      <c r="O6" s="464"/>
      <c r="P6" s="464"/>
      <c r="Q6" s="228" t="s">
        <v>131</v>
      </c>
      <c r="R6" s="228">
        <v>0</v>
      </c>
      <c r="S6" s="228">
        <v>1</v>
      </c>
      <c r="T6" s="84"/>
      <c r="U6" s="84"/>
      <c r="V6" s="84"/>
      <c r="W6" s="85"/>
      <c r="X6" s="291"/>
      <c r="Y6" s="221"/>
      <c r="Z6" s="295"/>
      <c r="AA6" s="475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473" t="s">
        <v>82</v>
      </c>
      <c r="AO6" s="473"/>
      <c r="AP6" s="473"/>
      <c r="AQ6" s="473"/>
      <c r="AR6" s="473"/>
      <c r="AS6" s="473"/>
      <c r="AT6" s="469" t="s">
        <v>70</v>
      </c>
      <c r="AU6" s="469"/>
      <c r="AV6" s="462" t="s">
        <v>105</v>
      </c>
      <c r="AW6" s="463"/>
      <c r="AX6" s="462" t="s">
        <v>132</v>
      </c>
      <c r="AY6" s="464"/>
      <c r="AZ6" s="464"/>
      <c r="BA6" s="465"/>
      <c r="BB6" s="211" t="s">
        <v>133</v>
      </c>
      <c r="BC6" s="219" t="s">
        <v>134</v>
      </c>
      <c r="BD6" s="219"/>
      <c r="BE6" s="219"/>
    </row>
    <row r="7" spans="1:58" s="290" customFormat="1" ht="39" customHeight="1" x14ac:dyDescent="0.25">
      <c r="A7" s="279" t="s">
        <v>135</v>
      </c>
      <c r="B7" s="274" t="s">
        <v>80</v>
      </c>
      <c r="C7" s="281"/>
      <c r="D7" s="281"/>
      <c r="E7" s="241" t="s">
        <v>136</v>
      </c>
      <c r="F7" s="478"/>
      <c r="G7" s="477"/>
      <c r="H7" s="275" t="s">
        <v>137</v>
      </c>
      <c r="I7" s="276" t="s">
        <v>138</v>
      </c>
      <c r="J7" s="282" t="s">
        <v>139</v>
      </c>
      <c r="K7" s="277" t="s">
        <v>140</v>
      </c>
      <c r="L7" s="281" t="s">
        <v>141</v>
      </c>
      <c r="M7" s="275" t="s">
        <v>142</v>
      </c>
      <c r="N7" s="276" t="s">
        <v>143</v>
      </c>
      <c r="O7" s="282" t="s">
        <v>144</v>
      </c>
      <c r="P7" s="277" t="s">
        <v>145</v>
      </c>
      <c r="Q7" s="281" t="s">
        <v>146</v>
      </c>
      <c r="R7" s="281" t="s">
        <v>147</v>
      </c>
      <c r="S7" s="281" t="s">
        <v>148</v>
      </c>
      <c r="T7" s="211" t="s">
        <v>149</v>
      </c>
      <c r="U7" s="211" t="s">
        <v>150</v>
      </c>
      <c r="V7" s="275" t="s">
        <v>151</v>
      </c>
      <c r="W7" s="278" t="s">
        <v>152</v>
      </c>
      <c r="X7" s="278" t="s">
        <v>153</v>
      </c>
      <c r="Y7" s="283" t="s">
        <v>154</v>
      </c>
      <c r="Z7" s="284" t="s">
        <v>155</v>
      </c>
      <c r="AA7" s="285" t="s">
        <v>134</v>
      </c>
      <c r="AB7" s="286" t="s">
        <v>49</v>
      </c>
      <c r="AC7" s="286" t="s">
        <v>59</v>
      </c>
      <c r="AD7" s="286" t="s">
        <v>57</v>
      </c>
      <c r="AE7" s="286" t="s">
        <v>55</v>
      </c>
      <c r="AF7" s="286" t="s">
        <v>156</v>
      </c>
      <c r="AG7" s="286" t="s">
        <v>157</v>
      </c>
      <c r="AH7" s="286" t="s">
        <v>61</v>
      </c>
      <c r="AI7" s="286" t="s">
        <v>65</v>
      </c>
      <c r="AJ7" s="286" t="s">
        <v>74</v>
      </c>
      <c r="AK7" s="286" t="s">
        <v>76</v>
      </c>
      <c r="AL7" s="286" t="s">
        <v>158</v>
      </c>
      <c r="AM7" s="286" t="s">
        <v>78</v>
      </c>
      <c r="AN7" s="287" t="s">
        <v>159</v>
      </c>
      <c r="AO7" s="286" t="s">
        <v>160</v>
      </c>
      <c r="AP7" s="286" t="s">
        <v>81</v>
      </c>
      <c r="AQ7" s="286" t="s">
        <v>161</v>
      </c>
      <c r="AR7" s="286" t="s">
        <v>162</v>
      </c>
      <c r="AS7" s="286" t="s">
        <v>39</v>
      </c>
      <c r="AT7" s="288" t="s">
        <v>163</v>
      </c>
      <c r="AU7" s="288" t="s">
        <v>164</v>
      </c>
      <c r="AV7" s="279" t="s">
        <v>165</v>
      </c>
      <c r="AW7" s="280" t="s">
        <v>166</v>
      </c>
      <c r="AX7" s="279" t="s">
        <v>38</v>
      </c>
      <c r="AY7" s="241" t="s">
        <v>39</v>
      </c>
      <c r="AZ7" s="241" t="s">
        <v>81</v>
      </c>
      <c r="BA7" s="280" t="s">
        <v>167</v>
      </c>
      <c r="BB7" s="280" t="s">
        <v>167</v>
      </c>
      <c r="BC7" s="289" t="s">
        <v>165</v>
      </c>
      <c r="BD7" s="289" t="s">
        <v>168</v>
      </c>
      <c r="BE7" s="289" t="s">
        <v>169</v>
      </c>
      <c r="BF7" s="290" t="s">
        <v>170</v>
      </c>
    </row>
    <row r="8" spans="1:58" s="1" customFormat="1" ht="15" x14ac:dyDescent="0.3">
      <c r="A8" s="218">
        <f t="shared" ref="A8:A37" si="0">WEEKNUM(B8)</f>
        <v>36</v>
      </c>
      <c r="B8" s="47">
        <f>Aug!B38+1</f>
        <v>42247</v>
      </c>
      <c r="C8" s="219">
        <f t="shared" ref="C8:C37" si="1">NETWORKDAYS(B8,B8,Feiertage)</f>
        <v>0</v>
      </c>
      <c r="D8" s="220" t="str">
        <f t="shared" ref="D8:D37" si="2">IF(ISERROR(VLOOKUP(B8,Feiertage_ganz,4,FALSE)),"",(VLOOKUP(B8,Feiertage_ganz,4,FALSE)))</f>
        <v/>
      </c>
      <c r="E8" s="298" t="str">
        <f t="shared" ref="E8:E37" si="3">D8</f>
        <v/>
      </c>
      <c r="F8" s="87">
        <f t="shared" ref="F8:F37" si="4">B8</f>
        <v>42247</v>
      </c>
      <c r="G8" s="147"/>
      <c r="H8" s="214"/>
      <c r="I8" s="75"/>
      <c r="J8" s="221">
        <f t="shared" ref="J8:J37" si="5">I8-H8</f>
        <v>0</v>
      </c>
      <c r="K8" s="76"/>
      <c r="L8" s="221">
        <f>IF(J8-K8&gt;Pause_9,Pause_9p,IF(J8-K8&gt;Pause_6,Pause_6p,0))</f>
        <v>0</v>
      </c>
      <c r="M8" s="74"/>
      <c r="N8" s="75"/>
      <c r="O8" s="221">
        <f t="shared" ref="O8:O37" si="6">N8-M8</f>
        <v>0</v>
      </c>
      <c r="P8" s="76"/>
      <c r="Q8" s="221">
        <f>IF(O8-P8&gt;Pause_9,Pause_9p,IF(O8-P8&gt;Pause_6,Pause_6p,0))</f>
        <v>0</v>
      </c>
      <c r="R8" s="221">
        <f>IF(J8+O8-K8-P8&gt;Pause_9,Pause_9p,IF(J8+O8-K8-P8&gt;Pause_6,Pause_6p,0))</f>
        <v>0</v>
      </c>
      <c r="S8" s="221">
        <f t="shared" ref="S8:S37" si="7">IF(M8&gt;I8,IF(M8-I8+K8+P8&gt;=R8,K8+P8,R8),IF(K8+P8&gt;=R8,K8+P8,R8))</f>
        <v>0</v>
      </c>
      <c r="T8" s="79">
        <f t="shared" ref="T8:T37" si="8">IF(I8&lt;=M8,I8-H8+N8-M8,IF(I8&lt;=N8,N8-H8,I8-H8))</f>
        <v>0</v>
      </c>
      <c r="U8" s="79">
        <f>ROUND(T8-S8,10)</f>
        <v>0</v>
      </c>
      <c r="V8" s="80">
        <f t="shared" ref="V8:V37" ca="1" si="9">ROUND(IF(AND(D8&lt;&gt;"",G8=""),IF(ISERROR(VLOOKUP(B8,Feiertage,3,FALSE)),0,Z8),IF(B8="",0,IF(G8&lt;&gt;"",IF(UPPER(G8)=VLOOKUP(UPPER(G8),Code,1,FALSE),VLOOKUP(G8,Code,2,FALSE)*Z8,Z8),Z8))),10)</f>
        <v>0</v>
      </c>
      <c r="W8" s="249" t="str">
        <f t="shared" ref="W8:W37" ca="1" si="10">IF(OR(AND(VLOOKUP(UPPER(G8),Code,3,FALSE)=2,U8&gt;V8),AND(I8&lt;&gt;0,B8&lt;&gt;"",G8=""),VLOOKUP(UPPER(G8),Code,3,FALSE)=1),U8-V8,"")</f>
        <v/>
      </c>
      <c r="X8" s="292"/>
      <c r="Y8" s="221">
        <f t="shared" ref="Y8:Y37" si="11">IF(G8&lt;&gt;"",IF(VLOOKUP(G8,Code,2,FALSE)=2,U8,IF(AND(VLOOKUP(G8,Code,2,FALSE)=1,U8&gt;Z8),U8,0)),0)</f>
        <v>0</v>
      </c>
      <c r="Z8" s="299">
        <f ca="1">IF(B8="","",INDIRECT(ADDRESS(MATCH(B8,Soll_AZ,1)+MATCH("Arbeitszeit 1 ab",Voreinstellung_Übersicht!B:B,0)-1,WEEKDAY(B8,2)+4,,,"Voreinstellung_Übersicht"),TRUE))</f>
        <v>0</v>
      </c>
      <c r="AA8" s="300">
        <f ca="1">IF(W8="",Übertrag_Mehrarbeit,Übertrag_Mehrarbeit+W8)</f>
        <v>0</v>
      </c>
      <c r="AB8" s="219">
        <f t="shared" ref="AB8:AB37" si="12">IF(AND($G8&lt;&gt;0,IF(ISERROR(VLOOKUP($G8,Code,1,FALSE)),FALSE,VLOOKUP($G8,Code,1,FALSE)="U"),$C8=1),1,0)</f>
        <v>0</v>
      </c>
      <c r="AC8" s="219">
        <f t="shared" ref="AC8:AC37" si="13">IF(AND($G8&lt;&gt;0,IF(ISERROR(VLOOKUP($G8,Code,1,FALSE)),FALSE,VLOOKUP($G8,Code,1,FALSE))="WB"),1,0)</f>
        <v>0</v>
      </c>
      <c r="AD8" s="219">
        <f t="shared" ref="AD8:AD37" si="14">IF(AND($G8&lt;&gt;0,IF(ISERROR(VLOOKUP($G8,Code,1,FALSE)),FALSE,VLOOKUP($G8,Code,1,FALSE))="DR",$C8=1),1,0)</f>
        <v>0</v>
      </c>
      <c r="AE8" s="219">
        <f t="shared" ref="AE8:AE37" si="15">IF(AND($G8&lt;&gt;0,IF(ISERROR(VLOOKUP($G8,Code,1,FALSE)),FALSE,VLOOKUP($G8,Code,1,FALSE))="KK",$C8=1),1,0)</f>
        <v>0</v>
      </c>
      <c r="AF8" s="219">
        <f t="shared" ref="AF8:AF37" si="16">IF(AND($G8&lt;&gt;0,IF(ISERROR(VLOOKUP($G8,Code,1,FALSE)),FALSE,VLOOKUP($G8,Code,1,FALSE))="K",$C8=1),1,0)</f>
        <v>0</v>
      </c>
      <c r="AG8" s="219">
        <f t="shared" ref="AG8:AG37" si="17">IF(AND($G8&lt;&gt;0,IF(ISERROR(VLOOKUP($G8,Code,1,FALSE)),FALSE,VLOOKUP($G8,Code,1,FALSE))="KZT"),1,0)</f>
        <v>0</v>
      </c>
      <c r="AH8" s="219">
        <f t="shared" ref="AH8:AH37" si="18">IF(AND($G8&lt;&gt;0,IF(ISERROR(VLOOKUP($G8,Code,1,FALSE)),FALSE,VLOOKUP($G8,Code,1,FALSE))="mEG",$C8=1),1,0)</f>
        <v>0</v>
      </c>
      <c r="AI8" s="219">
        <f t="shared" ref="AI8:AI37" si="19">IF(AND($G8&lt;&gt;0,IF(ISERROR(VLOOKUP($G8,Code,1,FALSE)),FALSE,VLOOKUP($G8,Code,1,FALSE))="Ku"),1,0)</f>
        <v>0</v>
      </c>
      <c r="AJ8" s="219">
        <f t="shared" ref="AJ8:AJ37" si="20">IF(AND($G8&lt;&gt;0,IF(ISERROR(VLOOKUP($G8,Code,1,FALSE)),FALSE,VLOOKUP($G8,Code,1,FALSE))="§29(1)",$C8=1),1,0)</f>
        <v>0</v>
      </c>
      <c r="AK8" s="219">
        <f t="shared" ref="AK8:AK37" si="21">IF(AND($G8&lt;&gt;0,IF(ISERROR(VLOOKUP($G8,Code,1,FALSE)),FALSE,VLOOKUP($G8,Code,1,FALSE))="§29(2)",$C8=1),1,0)</f>
        <v>0</v>
      </c>
      <c r="AL8" s="219">
        <f t="shared" ref="AL8:AL37" si="22">IF(AND($G8&lt;&gt;0,IF(ISERROR(VLOOKUP($G8,Code,1,FALSE)),FALSE,VLOOKUP($G8,Code,1,FALSE))="§29(3)",$C8=1),1,0)</f>
        <v>0</v>
      </c>
      <c r="AM8" s="219">
        <f t="shared" ref="AM8:AM37" si="23">IF(AND($G8&lt;&gt;0,IF(ISERROR(VLOOKUP($G8,Code,1,FALSE)),FALSE,VLOOKUP($G8,Code,1,FALSE))="§29(4)",$C8=1),1,0)</f>
        <v>0</v>
      </c>
      <c r="AN8" s="301">
        <f t="shared" ref="AN8:AN37" si="24">IF(OR(AND(H8&lt;Nacht_6,I8-K8&lt;=Nacht_6),AND(I8&gt;Nacht_22,H8+K8&gt;=Nacht_22)),I8-H8-K8,IF(H8&lt;Nacht_6,IF(I8&gt;Nacht_22,Nacht_6-H8+I8-Nacht_22,Nacht_6-H8),IF(I8&gt;Nacht_22,I8-Nacht_22,0)))</f>
        <v>0</v>
      </c>
      <c r="AO8" s="301">
        <f t="shared" ref="AO8:AO37" si="25">IF(OR(AND(M8&lt;Nacht_6,N8-P8&lt;=Nacht_6),AND(N8&gt;Nacht_22,M8+P8&gt;=Nacht_22)),N8-M8-P8,IF(M8&lt;Nacht_6,IF(N8&gt;Nacht_22,Nacht_6-M8+N8-Nacht_22,Nacht_6-M8),IF(N8&gt;Nacht_22,N8-Nacht_22,0)))</f>
        <v>0</v>
      </c>
      <c r="AP8" s="301">
        <f t="shared" ref="AP8:AP37" si="26">IF(ISERROR(VLOOKUP(B8,Feiertage_ganz,3,FALSE)),0,IF(VLOOKUP(B8,Feiertage_ganz,3,FALSE)=1,U8,0))</f>
        <v>0</v>
      </c>
      <c r="AQ8" s="301">
        <f t="shared" ref="AQ8:AQ37" si="27">IF(OR(I8&lt;=Samstagszuschlag,H8&gt;=Nacht_22),0,IF(H8&lt;=Samstagszuschlag,IF(I8&lt;=Nacht_22,I8-Samstagszuschlag,Nacht_22-Samstagszuschlag),IF(I8&lt;=Nacht_22,I8-H8,Nacht_22-H8)))</f>
        <v>0</v>
      </c>
      <c r="AR8" s="301">
        <f t="shared" ref="AR8:AR37" si="28">IF(OR(N8&lt;=Samstagszuschlag,M8&lt;=Nacht_22),0,IF(M8&lt;=Samstagszuschlag,IF(N8&lt;=Nacht_22,N8-Samstagszuschlag,Nacht_22-Samstagszuschlag),IF(N8&lt;=Nacht_22,N8-M8,Nacht_22-M8)))</f>
        <v>0</v>
      </c>
      <c r="AS8" s="301">
        <f t="shared" ref="AS8:AS37" si="29">IF(WEEKDAY(B8,2)=7,U8,0)</f>
        <v>0</v>
      </c>
      <c r="AT8" s="302">
        <f t="shared" ref="AT8:AT37" si="30">IF(ISERROR(VLOOKUP(G8,Code_Liste,1,FALSE)),0,I8-H8)</f>
        <v>0</v>
      </c>
      <c r="AU8" s="302">
        <f t="shared" ref="AU8:AU37" si="31">IF(ISERROR(VLOOKUP(G8,Code_Liste,1,FALSE)),0,N8-M8)</f>
        <v>0</v>
      </c>
      <c r="AV8" s="81">
        <f t="shared" ref="AV8:AV37" si="32">SUM(AN8:AO8)</f>
        <v>0</v>
      </c>
      <c r="AW8" s="82">
        <f t="shared" ref="AW8:AW37" si="33">AV8*Zuschlag_Nacht/100</f>
        <v>0</v>
      </c>
      <c r="AX8" s="81">
        <f t="shared" ref="AX8:AX37" si="34">IF(WEEKDAY(B8,2)=6,AQ8+AR8,0)</f>
        <v>0</v>
      </c>
      <c r="AY8" s="83">
        <f t="shared" ref="AY8:AY37" si="35">AS8</f>
        <v>0</v>
      </c>
      <c r="AZ8" s="83">
        <f t="shared" ref="AZ8:AZ37" si="36">AP8</f>
        <v>0</v>
      </c>
      <c r="BA8" s="82">
        <f>IF(OR(B8=Feiertage!$A$16,B8=Feiertage!$A$19),U8*Zuschläge_24_31/100,IF(AZ8&gt;0,AZ8*Feiertag_mit/100,IF(AX8&gt;0,AX8*Zuschläge_Sa/100,IF(AY8&gt;0,AY8*Zuschlag_So/100,0))))</f>
        <v>0</v>
      </c>
      <c r="BB8" s="82">
        <f>IF(AND(B8&lt;&gt;0,G8=Voreinstellung_Übersicht!$D$41),IF(EG=1,W8*Über_klein/100,IF(EG=2,W8*Über_groß/100,"Fehler")),0)</f>
        <v>0</v>
      </c>
      <c r="BC8" s="299">
        <f ca="1">Aug!BC39</f>
        <v>0</v>
      </c>
      <c r="BD8" s="219">
        <f t="shared" ref="BD8:BD37" ca="1" si="37">IF(OR(AND(BC8&gt;=0,BC8&lt;=(grün_plus*BE8/100%)),AND(BC8&lt;=0,BC8&gt;=(grün_minus*BE8/100%))),1,IF(OR(AND(BC8&gt;0,BC8&lt;=(gelb_plus*BE8/100%)),AND(BC8&lt;0,BC8&gt;=(gelb_minus*BE8/100%))),2,3))</f>
        <v>1</v>
      </c>
      <c r="BE8" s="303">
        <f ca="1">IF(B8="","",INDIRECT(ADDRESS(MATCH(B8,Soll_AZ,1)+MATCH("Arbeitszeit 1 ab",Voreinstellung_Übersicht!B:B,0)-1,4,,,"Voreinstellung_Übersicht"),TRUE))</f>
        <v>1.6666666666666665</v>
      </c>
      <c r="BF8" s="1">
        <f>IF(OR(G8="WB",G8="DR",U8&gt;0),1,0)</f>
        <v>0</v>
      </c>
    </row>
    <row r="9" spans="1:58" s="1" customFormat="1" ht="15" x14ac:dyDescent="0.3">
      <c r="A9" s="218">
        <f t="shared" si="0"/>
        <v>36</v>
      </c>
      <c r="B9" s="47">
        <f t="shared" ref="B9:B37" si="38">B8+1</f>
        <v>42248</v>
      </c>
      <c r="C9" s="219">
        <f t="shared" si="1"/>
        <v>1</v>
      </c>
      <c r="D9" s="220" t="str">
        <f t="shared" si="2"/>
        <v/>
      </c>
      <c r="E9" s="298" t="str">
        <f t="shared" si="3"/>
        <v/>
      </c>
      <c r="F9" s="87">
        <f t="shared" si="4"/>
        <v>42248</v>
      </c>
      <c r="G9" s="147"/>
      <c r="H9" s="74"/>
      <c r="I9" s="75"/>
      <c r="J9" s="221">
        <f t="shared" si="5"/>
        <v>0</v>
      </c>
      <c r="K9" s="76"/>
      <c r="L9" s="221">
        <f>IF(J9-K9&gt;Pause_9,Pause_9p,IF(J9-K9&gt;Pause_6,Pause_6p,0))</f>
        <v>0</v>
      </c>
      <c r="M9" s="74"/>
      <c r="N9" s="75"/>
      <c r="O9" s="221">
        <f t="shared" si="6"/>
        <v>0</v>
      </c>
      <c r="P9" s="76"/>
      <c r="Q9" s="221">
        <f>IF(O9-P9&gt;Pause_9,Pause_9p,IF(O9-P9&gt;Pause_6,Pause_6p,0))</f>
        <v>0</v>
      </c>
      <c r="R9" s="221">
        <f>IF(J9+O9-K9-P9&gt;Pause_9,Pause_9p,IF(J9+O9-K9-P9&gt;Pause_6,Pause_6p,0))</f>
        <v>0</v>
      </c>
      <c r="S9" s="221">
        <f t="shared" si="7"/>
        <v>0</v>
      </c>
      <c r="T9" s="79">
        <f t="shared" si="8"/>
        <v>0</v>
      </c>
      <c r="U9" s="79">
        <f t="shared" ref="U9:U37" si="39">ROUND(T9-S9,10)</f>
        <v>0</v>
      </c>
      <c r="V9" s="80">
        <f t="shared" ca="1" si="9"/>
        <v>0.33333333329999998</v>
      </c>
      <c r="W9" s="249" t="str">
        <f t="shared" ca="1" si="10"/>
        <v/>
      </c>
      <c r="X9" s="293"/>
      <c r="Y9" s="221">
        <f t="shared" si="11"/>
        <v>0</v>
      </c>
      <c r="Z9" s="299">
        <f ca="1">IF(B9="","",INDIRECT(ADDRESS(MATCH(B9,Soll_AZ,1)+MATCH("Arbeitszeit 1 ab",Voreinstellung_Übersicht!B:B,0)-1,WEEKDAY(B9,2)+4,,,"Voreinstellung_Übersicht"),TRUE))</f>
        <v>0.33333333333333331</v>
      </c>
      <c r="AA9" s="300">
        <f t="shared" ref="AA9:AA37" ca="1" si="40">IF(W9="",AA8,AA8+W9)</f>
        <v>0</v>
      </c>
      <c r="AB9" s="219">
        <f t="shared" si="12"/>
        <v>0</v>
      </c>
      <c r="AC9" s="219">
        <f t="shared" si="13"/>
        <v>0</v>
      </c>
      <c r="AD9" s="219">
        <f t="shared" si="14"/>
        <v>0</v>
      </c>
      <c r="AE9" s="219">
        <f t="shared" si="15"/>
        <v>0</v>
      </c>
      <c r="AF9" s="219">
        <f t="shared" si="16"/>
        <v>0</v>
      </c>
      <c r="AG9" s="219">
        <f t="shared" si="17"/>
        <v>0</v>
      </c>
      <c r="AH9" s="219">
        <f t="shared" si="18"/>
        <v>0</v>
      </c>
      <c r="AI9" s="219">
        <f t="shared" si="19"/>
        <v>0</v>
      </c>
      <c r="AJ9" s="219">
        <f t="shared" si="20"/>
        <v>0</v>
      </c>
      <c r="AK9" s="219">
        <f t="shared" si="21"/>
        <v>0</v>
      </c>
      <c r="AL9" s="219">
        <f t="shared" si="22"/>
        <v>0</v>
      </c>
      <c r="AM9" s="219">
        <f t="shared" si="23"/>
        <v>0</v>
      </c>
      <c r="AN9" s="301">
        <f t="shared" si="24"/>
        <v>0</v>
      </c>
      <c r="AO9" s="301">
        <f t="shared" si="25"/>
        <v>0</v>
      </c>
      <c r="AP9" s="301">
        <f t="shared" si="26"/>
        <v>0</v>
      </c>
      <c r="AQ9" s="301">
        <f t="shared" si="27"/>
        <v>0</v>
      </c>
      <c r="AR9" s="301">
        <f t="shared" si="28"/>
        <v>0</v>
      </c>
      <c r="AS9" s="301">
        <f t="shared" si="29"/>
        <v>0</v>
      </c>
      <c r="AT9" s="302">
        <f t="shared" si="30"/>
        <v>0</v>
      </c>
      <c r="AU9" s="302">
        <f t="shared" si="31"/>
        <v>0</v>
      </c>
      <c r="AV9" s="81">
        <f t="shared" si="32"/>
        <v>0</v>
      </c>
      <c r="AW9" s="82">
        <f t="shared" si="33"/>
        <v>0</v>
      </c>
      <c r="AX9" s="81">
        <f t="shared" si="34"/>
        <v>0</v>
      </c>
      <c r="AY9" s="83">
        <f t="shared" si="35"/>
        <v>0</v>
      </c>
      <c r="AZ9" s="83">
        <f t="shared" si="36"/>
        <v>0</v>
      </c>
      <c r="BA9" s="82">
        <f>IF(OR(B9=Feiertage!$A$16,B9=Feiertage!$A$19),U9*Zuschläge_24_31/100,IF(AZ9&gt;0,AZ9*Feiertag_mit/100,IF(AX9&gt;0,AX9*Zuschläge_Sa/100,IF(AY9&gt;0,AY9*Zuschlag_So/100,0))))</f>
        <v>0</v>
      </c>
      <c r="BB9" s="82">
        <f>IF(AND(B9&lt;&gt;0,G9=Voreinstellung_Übersicht!$D$41),IF(EG=1,W9*Über_klein/100,IF(EG=2,W9*Über_groß/100,"Fehler")),0)</f>
        <v>0</v>
      </c>
      <c r="BC9" s="299">
        <f t="shared" ref="BC9:BC38" ca="1" si="41">IF(W9="",BC8,BC8+W9)</f>
        <v>0</v>
      </c>
      <c r="BD9" s="219">
        <f t="shared" ca="1" si="37"/>
        <v>1</v>
      </c>
      <c r="BE9" s="303">
        <f ca="1">IF(B9="","",INDIRECT(ADDRESS(MATCH(B9,Soll_AZ,1)+MATCH("Arbeitszeit 1 ab",Voreinstellung_Übersicht!B:B,0)-1,4,,,"Voreinstellung_Übersicht"),TRUE))</f>
        <v>1.6666666666666665</v>
      </c>
      <c r="BF9" s="1">
        <f t="shared" ref="BF9:BF38" si="42">IF(OR(G9="WB",G9="DR",U9&gt;0),1,0)</f>
        <v>0</v>
      </c>
    </row>
    <row r="10" spans="1:58" s="1" customFormat="1" ht="15" x14ac:dyDescent="0.3">
      <c r="A10" s="218">
        <f t="shared" si="0"/>
        <v>36</v>
      </c>
      <c r="B10" s="47">
        <f t="shared" si="38"/>
        <v>42249</v>
      </c>
      <c r="C10" s="219">
        <f t="shared" si="1"/>
        <v>1</v>
      </c>
      <c r="D10" s="220" t="str">
        <f t="shared" si="2"/>
        <v/>
      </c>
      <c r="E10" s="298" t="str">
        <f t="shared" si="3"/>
        <v/>
      </c>
      <c r="F10" s="87">
        <f t="shared" si="4"/>
        <v>42249</v>
      </c>
      <c r="G10" s="147"/>
      <c r="H10" s="74"/>
      <c r="I10" s="75"/>
      <c r="J10" s="221">
        <f t="shared" si="5"/>
        <v>0</v>
      </c>
      <c r="K10" s="76"/>
      <c r="L10" s="221">
        <f>IF(J10-K10&gt;=Pause_9,Pause_9p,IF(J10-K10&gt;=Pause_6,Pause_6p,0))</f>
        <v>0</v>
      </c>
      <c r="M10" s="74"/>
      <c r="N10" s="75"/>
      <c r="O10" s="221">
        <f t="shared" si="6"/>
        <v>0</v>
      </c>
      <c r="P10" s="76"/>
      <c r="Q10" s="221">
        <f>IF(O10-P10&gt;Pause_9,Pause_9p,IF(O10-P10&gt;Pause_6,Pause_6p,0))</f>
        <v>0</v>
      </c>
      <c r="R10" s="221">
        <f>IF(J10+O10-K10-P10&gt;Pause_9,Pause_9p,IF(J10+O10-K10-P10&gt;Pause_6,Pause_6p,0))</f>
        <v>0</v>
      </c>
      <c r="S10" s="221">
        <f t="shared" si="7"/>
        <v>0</v>
      </c>
      <c r="T10" s="79">
        <f t="shared" si="8"/>
        <v>0</v>
      </c>
      <c r="U10" s="79">
        <f t="shared" si="39"/>
        <v>0</v>
      </c>
      <c r="V10" s="80">
        <f t="shared" ca="1" si="9"/>
        <v>0.33333333329999998</v>
      </c>
      <c r="W10" s="249" t="str">
        <f t="shared" ca="1" si="10"/>
        <v/>
      </c>
      <c r="X10" s="293"/>
      <c r="Y10" s="221">
        <f t="shared" si="11"/>
        <v>0</v>
      </c>
      <c r="Z10" s="299">
        <f ca="1">IF(B10="","",INDIRECT(ADDRESS(MATCH(B10,Soll_AZ,1)+MATCH("Arbeitszeit 1 ab",Voreinstellung_Übersicht!B:B,0)-1,WEEKDAY(B10,2)+4,,,"Voreinstellung_Übersicht"),TRUE))</f>
        <v>0.33333333333333331</v>
      </c>
      <c r="AA10" s="300">
        <f t="shared" ca="1" si="40"/>
        <v>0</v>
      </c>
      <c r="AB10" s="219">
        <f t="shared" si="12"/>
        <v>0</v>
      </c>
      <c r="AC10" s="219">
        <f t="shared" si="13"/>
        <v>0</v>
      </c>
      <c r="AD10" s="219">
        <f t="shared" si="14"/>
        <v>0</v>
      </c>
      <c r="AE10" s="219">
        <f t="shared" si="15"/>
        <v>0</v>
      </c>
      <c r="AF10" s="219">
        <f t="shared" si="16"/>
        <v>0</v>
      </c>
      <c r="AG10" s="219">
        <f t="shared" si="17"/>
        <v>0</v>
      </c>
      <c r="AH10" s="219">
        <f t="shared" si="18"/>
        <v>0</v>
      </c>
      <c r="AI10" s="219">
        <f t="shared" si="19"/>
        <v>0</v>
      </c>
      <c r="AJ10" s="219">
        <f t="shared" si="20"/>
        <v>0</v>
      </c>
      <c r="AK10" s="219">
        <f t="shared" si="21"/>
        <v>0</v>
      </c>
      <c r="AL10" s="219">
        <f t="shared" si="22"/>
        <v>0</v>
      </c>
      <c r="AM10" s="219">
        <f t="shared" si="23"/>
        <v>0</v>
      </c>
      <c r="AN10" s="301">
        <f t="shared" si="24"/>
        <v>0</v>
      </c>
      <c r="AO10" s="301">
        <f t="shared" si="25"/>
        <v>0</v>
      </c>
      <c r="AP10" s="301">
        <f t="shared" si="26"/>
        <v>0</v>
      </c>
      <c r="AQ10" s="301">
        <f t="shared" si="27"/>
        <v>0</v>
      </c>
      <c r="AR10" s="301">
        <f t="shared" si="28"/>
        <v>0</v>
      </c>
      <c r="AS10" s="301">
        <f t="shared" si="29"/>
        <v>0</v>
      </c>
      <c r="AT10" s="302">
        <f t="shared" si="30"/>
        <v>0</v>
      </c>
      <c r="AU10" s="302">
        <f t="shared" si="31"/>
        <v>0</v>
      </c>
      <c r="AV10" s="81">
        <f t="shared" si="32"/>
        <v>0</v>
      </c>
      <c r="AW10" s="82">
        <f t="shared" si="33"/>
        <v>0</v>
      </c>
      <c r="AX10" s="81">
        <f t="shared" si="34"/>
        <v>0</v>
      </c>
      <c r="AY10" s="83">
        <f t="shared" si="35"/>
        <v>0</v>
      </c>
      <c r="AZ10" s="83">
        <f t="shared" si="36"/>
        <v>0</v>
      </c>
      <c r="BA10" s="82">
        <f>IF(OR(B10=Feiertage!$A$16,B10=Feiertage!$A$19),U10*Zuschläge_24_31/100,IF(AZ10&gt;0,AZ10*Feiertag_mit/100,IF(AX10&gt;0,AX10*Zuschläge_Sa/100,IF(AY10&gt;0,AY10*Zuschlag_So/100,0))))</f>
        <v>0</v>
      </c>
      <c r="BB10" s="82">
        <f>IF(AND(B10&lt;&gt;0,G10=Voreinstellung_Übersicht!$D$41),IF(EG=1,W10*Über_klein/100,IF(EG=2,W10*Über_groß/100,"Fehler")),0)</f>
        <v>0</v>
      </c>
      <c r="BC10" s="299">
        <f t="shared" ca="1" si="41"/>
        <v>0</v>
      </c>
      <c r="BD10" s="219">
        <f t="shared" ca="1" si="37"/>
        <v>1</v>
      </c>
      <c r="BE10" s="303">
        <f ca="1">IF(B10="","",INDIRECT(ADDRESS(MATCH(B10,Soll_AZ,1)+MATCH("Arbeitszeit 1 ab",Voreinstellung_Übersicht!B:B,0)-1,4,,,"Voreinstellung_Übersicht"),TRUE))</f>
        <v>1.6666666666666665</v>
      </c>
      <c r="BF10" s="1">
        <f t="shared" si="42"/>
        <v>0</v>
      </c>
    </row>
    <row r="11" spans="1:58" s="1" customFormat="1" ht="15" x14ac:dyDescent="0.3">
      <c r="A11" s="218">
        <f t="shared" si="0"/>
        <v>36</v>
      </c>
      <c r="B11" s="47">
        <f t="shared" si="38"/>
        <v>42250</v>
      </c>
      <c r="C11" s="219">
        <f t="shared" si="1"/>
        <v>1</v>
      </c>
      <c r="D11" s="220" t="str">
        <f t="shared" si="2"/>
        <v/>
      </c>
      <c r="E11" s="298" t="str">
        <f t="shared" si="3"/>
        <v/>
      </c>
      <c r="F11" s="87">
        <f t="shared" si="4"/>
        <v>42250</v>
      </c>
      <c r="G11" s="147"/>
      <c r="H11" s="74"/>
      <c r="I11" s="75"/>
      <c r="J11" s="221">
        <f t="shared" si="5"/>
        <v>0</v>
      </c>
      <c r="K11" s="76"/>
      <c r="L11" s="221">
        <f>IF(J11-K11&gt;=Pause_9,Pause_9p,IF(J11-K11&gt;=Pause_6,Pause_6p,0))</f>
        <v>0</v>
      </c>
      <c r="M11" s="74"/>
      <c r="N11" s="75"/>
      <c r="O11" s="221">
        <f t="shared" si="6"/>
        <v>0</v>
      </c>
      <c r="P11" s="76"/>
      <c r="Q11" s="221">
        <f>IF(O11-P11&gt;Pause_9,Pause_9p,IF(O11-P11&gt;Pause_6,Pause_6p,0))</f>
        <v>0</v>
      </c>
      <c r="R11" s="221">
        <f>IF(J11+O11-K11-P11&gt;Pause_9,Pause_9p,IF(J11+O11-K11-P11&gt;Pause_6,Pause_6p,0))</f>
        <v>0</v>
      </c>
      <c r="S11" s="221">
        <f t="shared" si="7"/>
        <v>0</v>
      </c>
      <c r="T11" s="79">
        <f t="shared" si="8"/>
        <v>0</v>
      </c>
      <c r="U11" s="79">
        <f t="shared" si="39"/>
        <v>0</v>
      </c>
      <c r="V11" s="80">
        <f t="shared" ca="1" si="9"/>
        <v>0.33333333329999998</v>
      </c>
      <c r="W11" s="249" t="str">
        <f t="shared" ca="1" si="10"/>
        <v/>
      </c>
      <c r="X11" s="293"/>
      <c r="Y11" s="221">
        <f t="shared" si="11"/>
        <v>0</v>
      </c>
      <c r="Z11" s="299">
        <f ca="1">IF(B11="","",INDIRECT(ADDRESS(MATCH(B11,Soll_AZ,1)+MATCH("Arbeitszeit 1 ab",Voreinstellung_Übersicht!B:B,0)-1,WEEKDAY(B11,2)+4,,,"Voreinstellung_Übersicht"),TRUE))</f>
        <v>0.33333333333333331</v>
      </c>
      <c r="AA11" s="300">
        <f t="shared" ca="1" si="40"/>
        <v>0</v>
      </c>
      <c r="AB11" s="219">
        <f t="shared" si="12"/>
        <v>0</v>
      </c>
      <c r="AC11" s="219">
        <f t="shared" si="13"/>
        <v>0</v>
      </c>
      <c r="AD11" s="219">
        <f t="shared" si="14"/>
        <v>0</v>
      </c>
      <c r="AE11" s="219">
        <f t="shared" si="15"/>
        <v>0</v>
      </c>
      <c r="AF11" s="219">
        <f t="shared" si="16"/>
        <v>0</v>
      </c>
      <c r="AG11" s="219">
        <f t="shared" si="17"/>
        <v>0</v>
      </c>
      <c r="AH11" s="219">
        <f t="shared" si="18"/>
        <v>0</v>
      </c>
      <c r="AI11" s="219">
        <f t="shared" si="19"/>
        <v>0</v>
      </c>
      <c r="AJ11" s="219">
        <f t="shared" si="20"/>
        <v>0</v>
      </c>
      <c r="AK11" s="219">
        <f t="shared" si="21"/>
        <v>0</v>
      </c>
      <c r="AL11" s="219">
        <f t="shared" si="22"/>
        <v>0</v>
      </c>
      <c r="AM11" s="219">
        <f t="shared" si="23"/>
        <v>0</v>
      </c>
      <c r="AN11" s="301">
        <f t="shared" si="24"/>
        <v>0</v>
      </c>
      <c r="AO11" s="301">
        <f t="shared" si="25"/>
        <v>0</v>
      </c>
      <c r="AP11" s="301">
        <f t="shared" si="26"/>
        <v>0</v>
      </c>
      <c r="AQ11" s="301">
        <f t="shared" si="27"/>
        <v>0</v>
      </c>
      <c r="AR11" s="301">
        <f t="shared" si="28"/>
        <v>0</v>
      </c>
      <c r="AS11" s="301">
        <f t="shared" si="29"/>
        <v>0</v>
      </c>
      <c r="AT11" s="302">
        <f t="shared" si="30"/>
        <v>0</v>
      </c>
      <c r="AU11" s="302">
        <f t="shared" si="31"/>
        <v>0</v>
      </c>
      <c r="AV11" s="81">
        <f t="shared" si="32"/>
        <v>0</v>
      </c>
      <c r="AW11" s="82">
        <f t="shared" si="33"/>
        <v>0</v>
      </c>
      <c r="AX11" s="81">
        <f t="shared" si="34"/>
        <v>0</v>
      </c>
      <c r="AY11" s="83">
        <f t="shared" si="35"/>
        <v>0</v>
      </c>
      <c r="AZ11" s="83">
        <f t="shared" si="36"/>
        <v>0</v>
      </c>
      <c r="BA11" s="82">
        <f>IF(OR(B11=Feiertage!$A$16,B11=Feiertage!$A$19),U11*Zuschläge_24_31/100,IF(AZ11&gt;0,AZ11*Feiertag_mit/100,IF(AX11&gt;0,AX11*Zuschläge_Sa/100,IF(AY11&gt;0,AY11*Zuschlag_So/100,0))))</f>
        <v>0</v>
      </c>
      <c r="BB11" s="82">
        <f>IF(AND(B11&lt;&gt;0,G11=Voreinstellung_Übersicht!$D$41),IF(EG=1,W11*Über_klein/100,IF(EG=2,W11*Über_groß/100,"Fehler")),0)</f>
        <v>0</v>
      </c>
      <c r="BC11" s="299">
        <f t="shared" ca="1" si="41"/>
        <v>0</v>
      </c>
      <c r="BD11" s="219">
        <f t="shared" ca="1" si="37"/>
        <v>1</v>
      </c>
      <c r="BE11" s="303">
        <f ca="1">IF(B11="","",INDIRECT(ADDRESS(MATCH(B11,Soll_AZ,1)+MATCH("Arbeitszeit 1 ab",Voreinstellung_Übersicht!B:B,0)-1,4,,,"Voreinstellung_Übersicht"),TRUE))</f>
        <v>1.6666666666666665</v>
      </c>
      <c r="BF11" s="1">
        <f t="shared" si="42"/>
        <v>0</v>
      </c>
    </row>
    <row r="12" spans="1:58" s="1" customFormat="1" ht="15" x14ac:dyDescent="0.3">
      <c r="A12" s="218">
        <f t="shared" si="0"/>
        <v>36</v>
      </c>
      <c r="B12" s="47">
        <f t="shared" si="38"/>
        <v>42251</v>
      </c>
      <c r="C12" s="219">
        <f t="shared" si="1"/>
        <v>1</v>
      </c>
      <c r="D12" s="220" t="str">
        <f t="shared" si="2"/>
        <v/>
      </c>
      <c r="E12" s="298" t="str">
        <f t="shared" si="3"/>
        <v/>
      </c>
      <c r="F12" s="87">
        <f t="shared" si="4"/>
        <v>42251</v>
      </c>
      <c r="G12" s="147"/>
      <c r="H12" s="74"/>
      <c r="I12" s="75"/>
      <c r="J12" s="221">
        <f t="shared" si="5"/>
        <v>0</v>
      </c>
      <c r="K12" s="76"/>
      <c r="L12" s="221">
        <f t="shared" ref="L12:L37" si="43">IF(J12&gt;=Pause_9,Pause_9p,IF(J12&gt;=Pause_6,Pause_6p,0))</f>
        <v>0</v>
      </c>
      <c r="M12" s="74"/>
      <c r="N12" s="75"/>
      <c r="O12" s="221">
        <f t="shared" si="6"/>
        <v>0</v>
      </c>
      <c r="P12" s="76"/>
      <c r="Q12" s="221">
        <f t="shared" ref="Q12:Q37" si="44">IF(O12&gt;Pause_9,Pause_9p,IF(O12&gt;=Pause_6,Pause_6p,0))</f>
        <v>0</v>
      </c>
      <c r="R12" s="221">
        <f t="shared" ref="R12:R37" si="45">IF(J12+O12&gt;=Pause_9,Pause_9p,IF(J12+O12&gt;=Pause_6,Pause_6p,0))</f>
        <v>0</v>
      </c>
      <c r="S12" s="221">
        <f t="shared" si="7"/>
        <v>0</v>
      </c>
      <c r="T12" s="79">
        <f t="shared" si="8"/>
        <v>0</v>
      </c>
      <c r="U12" s="79">
        <f t="shared" si="39"/>
        <v>0</v>
      </c>
      <c r="V12" s="80">
        <f t="shared" ca="1" si="9"/>
        <v>0.33333333329999998</v>
      </c>
      <c r="W12" s="249" t="str">
        <f t="shared" ca="1" si="10"/>
        <v/>
      </c>
      <c r="X12" s="293"/>
      <c r="Y12" s="221">
        <f t="shared" si="11"/>
        <v>0</v>
      </c>
      <c r="Z12" s="299">
        <f ca="1">IF(B12="","",INDIRECT(ADDRESS(MATCH(B12,Soll_AZ,1)+MATCH("Arbeitszeit 1 ab",Voreinstellung_Übersicht!B:B,0)-1,WEEKDAY(B12,2)+4,,,"Voreinstellung_Übersicht"),TRUE))</f>
        <v>0.33333333333333331</v>
      </c>
      <c r="AA12" s="300">
        <f t="shared" ca="1" si="40"/>
        <v>0</v>
      </c>
      <c r="AB12" s="219">
        <f t="shared" si="12"/>
        <v>0</v>
      </c>
      <c r="AC12" s="219">
        <f t="shared" si="13"/>
        <v>0</v>
      </c>
      <c r="AD12" s="219">
        <f t="shared" si="14"/>
        <v>0</v>
      </c>
      <c r="AE12" s="219">
        <f t="shared" si="15"/>
        <v>0</v>
      </c>
      <c r="AF12" s="219">
        <f t="shared" si="16"/>
        <v>0</v>
      </c>
      <c r="AG12" s="219">
        <f t="shared" si="17"/>
        <v>0</v>
      </c>
      <c r="AH12" s="219">
        <f t="shared" si="18"/>
        <v>0</v>
      </c>
      <c r="AI12" s="219">
        <f t="shared" si="19"/>
        <v>0</v>
      </c>
      <c r="AJ12" s="219">
        <f t="shared" si="20"/>
        <v>0</v>
      </c>
      <c r="AK12" s="219">
        <f t="shared" si="21"/>
        <v>0</v>
      </c>
      <c r="AL12" s="219">
        <f t="shared" si="22"/>
        <v>0</v>
      </c>
      <c r="AM12" s="219">
        <f t="shared" si="23"/>
        <v>0</v>
      </c>
      <c r="AN12" s="301">
        <f t="shared" si="24"/>
        <v>0</v>
      </c>
      <c r="AO12" s="301">
        <f t="shared" si="25"/>
        <v>0</v>
      </c>
      <c r="AP12" s="301">
        <f t="shared" si="26"/>
        <v>0</v>
      </c>
      <c r="AQ12" s="301">
        <f t="shared" si="27"/>
        <v>0</v>
      </c>
      <c r="AR12" s="301">
        <f t="shared" si="28"/>
        <v>0</v>
      </c>
      <c r="AS12" s="301">
        <f t="shared" si="29"/>
        <v>0</v>
      </c>
      <c r="AT12" s="302">
        <f t="shared" si="30"/>
        <v>0</v>
      </c>
      <c r="AU12" s="302">
        <f t="shared" si="31"/>
        <v>0</v>
      </c>
      <c r="AV12" s="81">
        <f t="shared" si="32"/>
        <v>0</v>
      </c>
      <c r="AW12" s="82">
        <f t="shared" si="33"/>
        <v>0</v>
      </c>
      <c r="AX12" s="81">
        <f t="shared" si="34"/>
        <v>0</v>
      </c>
      <c r="AY12" s="83">
        <f t="shared" si="35"/>
        <v>0</v>
      </c>
      <c r="AZ12" s="83">
        <f t="shared" si="36"/>
        <v>0</v>
      </c>
      <c r="BA12" s="82">
        <f>IF(OR(B12=Feiertage!$A$16,B12=Feiertage!$A$19),U12*Zuschläge_24_31/100,IF(AZ12&gt;0,AZ12*Feiertag_mit/100,IF(AX12&gt;0,AX12*Zuschläge_Sa/100,IF(AY12&gt;0,AY12*Zuschlag_So/100,0))))</f>
        <v>0</v>
      </c>
      <c r="BB12" s="82">
        <f>IF(AND(B12&lt;&gt;0,G12=Voreinstellung_Übersicht!$D$41),IF(EG=1,W12*Über_klein/100,IF(EG=2,W12*Über_groß/100,"Fehler")),0)</f>
        <v>0</v>
      </c>
      <c r="BC12" s="299">
        <f t="shared" ca="1" si="41"/>
        <v>0</v>
      </c>
      <c r="BD12" s="219">
        <f t="shared" ca="1" si="37"/>
        <v>1</v>
      </c>
      <c r="BE12" s="303">
        <f ca="1">IF(B12="","",INDIRECT(ADDRESS(MATCH(B12,Soll_AZ,1)+MATCH("Arbeitszeit 1 ab",Voreinstellung_Übersicht!B:B,0)-1,4,,,"Voreinstellung_Übersicht"),TRUE))</f>
        <v>1.6666666666666665</v>
      </c>
      <c r="BF12" s="1">
        <f t="shared" si="42"/>
        <v>0</v>
      </c>
    </row>
    <row r="13" spans="1:58" s="1" customFormat="1" ht="15" x14ac:dyDescent="0.3">
      <c r="A13" s="218">
        <f t="shared" si="0"/>
        <v>36</v>
      </c>
      <c r="B13" s="47">
        <f t="shared" si="38"/>
        <v>42252</v>
      </c>
      <c r="C13" s="219">
        <f t="shared" si="1"/>
        <v>1</v>
      </c>
      <c r="D13" s="220" t="str">
        <f t="shared" si="2"/>
        <v/>
      </c>
      <c r="E13" s="298" t="str">
        <f t="shared" si="3"/>
        <v/>
      </c>
      <c r="F13" s="87">
        <f t="shared" si="4"/>
        <v>42252</v>
      </c>
      <c r="G13" s="147"/>
      <c r="H13" s="74"/>
      <c r="I13" s="75"/>
      <c r="J13" s="221">
        <f t="shared" si="5"/>
        <v>0</v>
      </c>
      <c r="K13" s="76"/>
      <c r="L13" s="221">
        <f t="shared" si="43"/>
        <v>0</v>
      </c>
      <c r="M13" s="74"/>
      <c r="N13" s="75"/>
      <c r="O13" s="221">
        <f t="shared" si="6"/>
        <v>0</v>
      </c>
      <c r="P13" s="76"/>
      <c r="Q13" s="221">
        <f t="shared" si="44"/>
        <v>0</v>
      </c>
      <c r="R13" s="221">
        <f t="shared" si="45"/>
        <v>0</v>
      </c>
      <c r="S13" s="221">
        <f t="shared" si="7"/>
        <v>0</v>
      </c>
      <c r="T13" s="79">
        <f t="shared" si="8"/>
        <v>0</v>
      </c>
      <c r="U13" s="79">
        <f t="shared" si="39"/>
        <v>0</v>
      </c>
      <c r="V13" s="80">
        <f t="shared" ca="1" si="9"/>
        <v>0.33333333329999998</v>
      </c>
      <c r="W13" s="249" t="str">
        <f t="shared" ca="1" si="10"/>
        <v/>
      </c>
      <c r="X13" s="293"/>
      <c r="Y13" s="221">
        <f t="shared" si="11"/>
        <v>0</v>
      </c>
      <c r="Z13" s="299">
        <f ca="1">IF(B13="","",INDIRECT(ADDRESS(MATCH(B13,Soll_AZ,1)+MATCH("Arbeitszeit 1 ab",Voreinstellung_Übersicht!B:B,0)-1,WEEKDAY(B13,2)+4,,,"Voreinstellung_Übersicht"),TRUE))</f>
        <v>0.33333333333333331</v>
      </c>
      <c r="AA13" s="300">
        <f t="shared" ca="1" si="40"/>
        <v>0</v>
      </c>
      <c r="AB13" s="219">
        <f t="shared" si="12"/>
        <v>0</v>
      </c>
      <c r="AC13" s="219">
        <f t="shared" si="13"/>
        <v>0</v>
      </c>
      <c r="AD13" s="219">
        <f t="shared" si="14"/>
        <v>0</v>
      </c>
      <c r="AE13" s="219">
        <f t="shared" si="15"/>
        <v>0</v>
      </c>
      <c r="AF13" s="219">
        <f t="shared" si="16"/>
        <v>0</v>
      </c>
      <c r="AG13" s="219">
        <f t="shared" si="17"/>
        <v>0</v>
      </c>
      <c r="AH13" s="219">
        <f t="shared" si="18"/>
        <v>0</v>
      </c>
      <c r="AI13" s="219">
        <f t="shared" si="19"/>
        <v>0</v>
      </c>
      <c r="AJ13" s="219">
        <f t="shared" si="20"/>
        <v>0</v>
      </c>
      <c r="AK13" s="219">
        <f t="shared" si="21"/>
        <v>0</v>
      </c>
      <c r="AL13" s="219">
        <f t="shared" si="22"/>
        <v>0</v>
      </c>
      <c r="AM13" s="219">
        <f t="shared" si="23"/>
        <v>0</v>
      </c>
      <c r="AN13" s="301">
        <f t="shared" si="24"/>
        <v>0</v>
      </c>
      <c r="AO13" s="301">
        <f t="shared" si="25"/>
        <v>0</v>
      </c>
      <c r="AP13" s="301">
        <f t="shared" si="26"/>
        <v>0</v>
      </c>
      <c r="AQ13" s="301">
        <f t="shared" si="27"/>
        <v>0</v>
      </c>
      <c r="AR13" s="301">
        <f t="shared" si="28"/>
        <v>0</v>
      </c>
      <c r="AS13" s="301">
        <f t="shared" si="29"/>
        <v>0</v>
      </c>
      <c r="AT13" s="302">
        <f t="shared" si="30"/>
        <v>0</v>
      </c>
      <c r="AU13" s="302">
        <f t="shared" si="31"/>
        <v>0</v>
      </c>
      <c r="AV13" s="81">
        <f t="shared" si="32"/>
        <v>0</v>
      </c>
      <c r="AW13" s="82">
        <f t="shared" si="33"/>
        <v>0</v>
      </c>
      <c r="AX13" s="81">
        <f t="shared" si="34"/>
        <v>0</v>
      </c>
      <c r="AY13" s="83">
        <f t="shared" si="35"/>
        <v>0</v>
      </c>
      <c r="AZ13" s="83">
        <f t="shared" si="36"/>
        <v>0</v>
      </c>
      <c r="BA13" s="82">
        <f>IF(OR(B13=Feiertage!$A$16,B13=Feiertage!$A$19),U13*Zuschläge_24_31/100,IF(AZ13&gt;0,AZ13*Feiertag_mit/100,IF(AX13&gt;0,AX13*Zuschläge_Sa/100,IF(AY13&gt;0,AY13*Zuschlag_So/100,0))))</f>
        <v>0</v>
      </c>
      <c r="BB13" s="82">
        <f>IF(AND(B13&lt;&gt;0,G13=Voreinstellung_Übersicht!$D$41),IF(EG=1,W13*Über_klein/100,IF(EG=2,W13*Über_groß/100,"Fehler")),0)</f>
        <v>0</v>
      </c>
      <c r="BC13" s="299">
        <f t="shared" ca="1" si="41"/>
        <v>0</v>
      </c>
      <c r="BD13" s="219">
        <f t="shared" ca="1" si="37"/>
        <v>1</v>
      </c>
      <c r="BE13" s="303">
        <f ca="1">IF(B13="","",INDIRECT(ADDRESS(MATCH(B13,Soll_AZ,1)+MATCH("Arbeitszeit 1 ab",Voreinstellung_Übersicht!B:B,0)-1,4,,,"Voreinstellung_Übersicht"),TRUE))</f>
        <v>1.6666666666666665</v>
      </c>
      <c r="BF13" s="1">
        <f t="shared" si="42"/>
        <v>0</v>
      </c>
    </row>
    <row r="14" spans="1:58" s="1" customFormat="1" ht="15" x14ac:dyDescent="0.3">
      <c r="A14" s="218">
        <f t="shared" si="0"/>
        <v>36</v>
      </c>
      <c r="B14" s="47">
        <f t="shared" si="38"/>
        <v>42253</v>
      </c>
      <c r="C14" s="219">
        <f t="shared" si="1"/>
        <v>0</v>
      </c>
      <c r="D14" s="220" t="str">
        <f t="shared" si="2"/>
        <v/>
      </c>
      <c r="E14" s="298" t="str">
        <f t="shared" si="3"/>
        <v/>
      </c>
      <c r="F14" s="87">
        <f t="shared" si="4"/>
        <v>42253</v>
      </c>
      <c r="G14" s="147"/>
      <c r="H14" s="74"/>
      <c r="I14" s="75"/>
      <c r="J14" s="221">
        <f t="shared" si="5"/>
        <v>0</v>
      </c>
      <c r="K14" s="76"/>
      <c r="L14" s="221">
        <f t="shared" si="43"/>
        <v>0</v>
      </c>
      <c r="M14" s="74"/>
      <c r="N14" s="75"/>
      <c r="O14" s="221">
        <f t="shared" si="6"/>
        <v>0</v>
      </c>
      <c r="P14" s="76"/>
      <c r="Q14" s="221">
        <f t="shared" si="44"/>
        <v>0</v>
      </c>
      <c r="R14" s="221">
        <f t="shared" si="45"/>
        <v>0</v>
      </c>
      <c r="S14" s="221">
        <f t="shared" si="7"/>
        <v>0</v>
      </c>
      <c r="T14" s="79">
        <f t="shared" si="8"/>
        <v>0</v>
      </c>
      <c r="U14" s="79">
        <f t="shared" si="39"/>
        <v>0</v>
      </c>
      <c r="V14" s="80">
        <f t="shared" ca="1" si="9"/>
        <v>0</v>
      </c>
      <c r="W14" s="249" t="str">
        <f t="shared" ca="1" si="10"/>
        <v/>
      </c>
      <c r="X14" s="293"/>
      <c r="Y14" s="221">
        <f t="shared" si="11"/>
        <v>0</v>
      </c>
      <c r="Z14" s="299">
        <f ca="1">IF(B14="","",INDIRECT(ADDRESS(MATCH(B14,Soll_AZ,1)+MATCH("Arbeitszeit 1 ab",Voreinstellung_Übersicht!B:B,0)-1,WEEKDAY(B14,2)+4,,,"Voreinstellung_Übersicht"),TRUE))</f>
        <v>0</v>
      </c>
      <c r="AA14" s="300">
        <f t="shared" ca="1" si="40"/>
        <v>0</v>
      </c>
      <c r="AB14" s="219">
        <f t="shared" si="12"/>
        <v>0</v>
      </c>
      <c r="AC14" s="219">
        <f t="shared" si="13"/>
        <v>0</v>
      </c>
      <c r="AD14" s="219">
        <f t="shared" si="14"/>
        <v>0</v>
      </c>
      <c r="AE14" s="219">
        <f t="shared" si="15"/>
        <v>0</v>
      </c>
      <c r="AF14" s="219">
        <f t="shared" si="16"/>
        <v>0</v>
      </c>
      <c r="AG14" s="219">
        <f t="shared" si="17"/>
        <v>0</v>
      </c>
      <c r="AH14" s="219">
        <f t="shared" si="18"/>
        <v>0</v>
      </c>
      <c r="AI14" s="219">
        <f t="shared" si="19"/>
        <v>0</v>
      </c>
      <c r="AJ14" s="219">
        <f t="shared" si="20"/>
        <v>0</v>
      </c>
      <c r="AK14" s="219">
        <f t="shared" si="21"/>
        <v>0</v>
      </c>
      <c r="AL14" s="219">
        <f t="shared" si="22"/>
        <v>0</v>
      </c>
      <c r="AM14" s="219">
        <f t="shared" si="23"/>
        <v>0</v>
      </c>
      <c r="AN14" s="301">
        <f t="shared" si="24"/>
        <v>0</v>
      </c>
      <c r="AO14" s="301">
        <f t="shared" si="25"/>
        <v>0</v>
      </c>
      <c r="AP14" s="301">
        <f t="shared" si="26"/>
        <v>0</v>
      </c>
      <c r="AQ14" s="301">
        <f t="shared" si="27"/>
        <v>0</v>
      </c>
      <c r="AR14" s="301">
        <f t="shared" si="28"/>
        <v>0</v>
      </c>
      <c r="AS14" s="301">
        <f t="shared" si="29"/>
        <v>0</v>
      </c>
      <c r="AT14" s="302">
        <f t="shared" si="30"/>
        <v>0</v>
      </c>
      <c r="AU14" s="302">
        <f t="shared" si="31"/>
        <v>0</v>
      </c>
      <c r="AV14" s="81">
        <f t="shared" si="32"/>
        <v>0</v>
      </c>
      <c r="AW14" s="82">
        <f t="shared" si="33"/>
        <v>0</v>
      </c>
      <c r="AX14" s="81">
        <f t="shared" si="34"/>
        <v>0</v>
      </c>
      <c r="AY14" s="83">
        <f t="shared" si="35"/>
        <v>0</v>
      </c>
      <c r="AZ14" s="83">
        <f t="shared" si="36"/>
        <v>0</v>
      </c>
      <c r="BA14" s="82">
        <f>IF(OR(B14=Feiertage!$A$16,B14=Feiertage!$A$19),U14*Zuschläge_24_31/100,IF(AZ14&gt;0,AZ14*Feiertag_mit/100,IF(AX14&gt;0,AX14*Zuschläge_Sa/100,IF(AY14&gt;0,AY14*Zuschlag_So/100,0))))</f>
        <v>0</v>
      </c>
      <c r="BB14" s="82">
        <f>IF(AND(B14&lt;&gt;0,G14=Voreinstellung_Übersicht!$D$41),IF(EG=1,W14*Über_klein/100,IF(EG=2,W14*Über_groß/100,"Fehler")),0)</f>
        <v>0</v>
      </c>
      <c r="BC14" s="299">
        <f t="shared" ca="1" si="41"/>
        <v>0</v>
      </c>
      <c r="BD14" s="219">
        <f t="shared" ca="1" si="37"/>
        <v>1</v>
      </c>
      <c r="BE14" s="303">
        <f ca="1">IF(B14="","",INDIRECT(ADDRESS(MATCH(B14,Soll_AZ,1)+MATCH("Arbeitszeit 1 ab",Voreinstellung_Übersicht!B:B,0)-1,4,,,"Voreinstellung_Übersicht"),TRUE))</f>
        <v>1.6666666666666665</v>
      </c>
      <c r="BF14" s="1">
        <f t="shared" si="42"/>
        <v>0</v>
      </c>
    </row>
    <row r="15" spans="1:58" s="1" customFormat="1" ht="15" x14ac:dyDescent="0.3">
      <c r="A15" s="218">
        <f t="shared" si="0"/>
        <v>37</v>
      </c>
      <c r="B15" s="47">
        <f t="shared" si="38"/>
        <v>42254</v>
      </c>
      <c r="C15" s="219">
        <f t="shared" si="1"/>
        <v>0</v>
      </c>
      <c r="D15" s="220" t="str">
        <f t="shared" si="2"/>
        <v/>
      </c>
      <c r="E15" s="298" t="str">
        <f t="shared" si="3"/>
        <v/>
      </c>
      <c r="F15" s="87">
        <f t="shared" si="4"/>
        <v>42254</v>
      </c>
      <c r="G15" s="147"/>
      <c r="H15" s="74"/>
      <c r="I15" s="75"/>
      <c r="J15" s="221">
        <f t="shared" si="5"/>
        <v>0</v>
      </c>
      <c r="K15" s="76"/>
      <c r="L15" s="221">
        <f t="shared" si="43"/>
        <v>0</v>
      </c>
      <c r="M15" s="74"/>
      <c r="N15" s="75"/>
      <c r="O15" s="221">
        <f t="shared" si="6"/>
        <v>0</v>
      </c>
      <c r="P15" s="76"/>
      <c r="Q15" s="221">
        <f t="shared" si="44"/>
        <v>0</v>
      </c>
      <c r="R15" s="221">
        <f t="shared" si="45"/>
        <v>0</v>
      </c>
      <c r="S15" s="221">
        <f t="shared" si="7"/>
        <v>0</v>
      </c>
      <c r="T15" s="79">
        <f t="shared" si="8"/>
        <v>0</v>
      </c>
      <c r="U15" s="79">
        <f t="shared" si="39"/>
        <v>0</v>
      </c>
      <c r="V15" s="80">
        <f t="shared" ca="1" si="9"/>
        <v>0</v>
      </c>
      <c r="W15" s="249" t="str">
        <f t="shared" ca="1" si="10"/>
        <v/>
      </c>
      <c r="X15" s="293"/>
      <c r="Y15" s="221">
        <f t="shared" si="11"/>
        <v>0</v>
      </c>
      <c r="Z15" s="299">
        <f ca="1">IF(B15="","",INDIRECT(ADDRESS(MATCH(B15,Soll_AZ,1)+MATCH("Arbeitszeit 1 ab",Voreinstellung_Übersicht!B:B,0)-1,WEEKDAY(B15,2)+4,,,"Voreinstellung_Übersicht"),TRUE))</f>
        <v>0</v>
      </c>
      <c r="AA15" s="300">
        <f t="shared" ca="1" si="40"/>
        <v>0</v>
      </c>
      <c r="AB15" s="219">
        <f t="shared" si="12"/>
        <v>0</v>
      </c>
      <c r="AC15" s="219">
        <f t="shared" si="13"/>
        <v>0</v>
      </c>
      <c r="AD15" s="219">
        <f t="shared" si="14"/>
        <v>0</v>
      </c>
      <c r="AE15" s="219">
        <f t="shared" si="15"/>
        <v>0</v>
      </c>
      <c r="AF15" s="219">
        <f t="shared" si="16"/>
        <v>0</v>
      </c>
      <c r="AG15" s="219">
        <f t="shared" si="17"/>
        <v>0</v>
      </c>
      <c r="AH15" s="219">
        <f t="shared" si="18"/>
        <v>0</v>
      </c>
      <c r="AI15" s="219">
        <f t="shared" si="19"/>
        <v>0</v>
      </c>
      <c r="AJ15" s="219">
        <f t="shared" si="20"/>
        <v>0</v>
      </c>
      <c r="AK15" s="219">
        <f t="shared" si="21"/>
        <v>0</v>
      </c>
      <c r="AL15" s="219">
        <f t="shared" si="22"/>
        <v>0</v>
      </c>
      <c r="AM15" s="219">
        <f t="shared" si="23"/>
        <v>0</v>
      </c>
      <c r="AN15" s="301">
        <f t="shared" si="24"/>
        <v>0</v>
      </c>
      <c r="AO15" s="301">
        <f t="shared" si="25"/>
        <v>0</v>
      </c>
      <c r="AP15" s="301">
        <f t="shared" si="26"/>
        <v>0</v>
      </c>
      <c r="AQ15" s="301">
        <f t="shared" si="27"/>
        <v>0</v>
      </c>
      <c r="AR15" s="301">
        <f t="shared" si="28"/>
        <v>0</v>
      </c>
      <c r="AS15" s="301">
        <f t="shared" si="29"/>
        <v>0</v>
      </c>
      <c r="AT15" s="302">
        <f t="shared" si="30"/>
        <v>0</v>
      </c>
      <c r="AU15" s="302">
        <f t="shared" si="31"/>
        <v>0</v>
      </c>
      <c r="AV15" s="81">
        <f t="shared" si="32"/>
        <v>0</v>
      </c>
      <c r="AW15" s="82">
        <f t="shared" si="33"/>
        <v>0</v>
      </c>
      <c r="AX15" s="81">
        <f t="shared" si="34"/>
        <v>0</v>
      </c>
      <c r="AY15" s="83">
        <f t="shared" si="35"/>
        <v>0</v>
      </c>
      <c r="AZ15" s="83">
        <f t="shared" si="36"/>
        <v>0</v>
      </c>
      <c r="BA15" s="82">
        <f>IF(OR(B15=Feiertage!$A$16,B15=Feiertage!$A$19),U15*Zuschläge_24_31/100,IF(AZ15&gt;0,AZ15*Feiertag_mit/100,IF(AX15&gt;0,AX15*Zuschläge_Sa/100,IF(AY15&gt;0,AY15*Zuschlag_So/100,0))))</f>
        <v>0</v>
      </c>
      <c r="BB15" s="82">
        <f>IF(AND(B15&lt;&gt;0,G15=Voreinstellung_Übersicht!$D$41),IF(EG=1,W15*Über_klein/100,IF(EG=2,W15*Über_groß/100,"Fehler")),0)</f>
        <v>0</v>
      </c>
      <c r="BC15" s="299">
        <f t="shared" ca="1" si="41"/>
        <v>0</v>
      </c>
      <c r="BD15" s="219">
        <f t="shared" ca="1" si="37"/>
        <v>1</v>
      </c>
      <c r="BE15" s="303">
        <f ca="1">IF(B15="","",INDIRECT(ADDRESS(MATCH(B15,Soll_AZ,1)+MATCH("Arbeitszeit 1 ab",Voreinstellung_Übersicht!B:B,0)-1,4,,,"Voreinstellung_Übersicht"),TRUE))</f>
        <v>1.6666666666666665</v>
      </c>
      <c r="BF15" s="1">
        <f t="shared" si="42"/>
        <v>0</v>
      </c>
    </row>
    <row r="16" spans="1:58" s="1" customFormat="1" ht="15" x14ac:dyDescent="0.3">
      <c r="A16" s="218">
        <f t="shared" si="0"/>
        <v>37</v>
      </c>
      <c r="B16" s="47">
        <f t="shared" si="38"/>
        <v>42255</v>
      </c>
      <c r="C16" s="219">
        <f t="shared" si="1"/>
        <v>1</v>
      </c>
      <c r="D16" s="220" t="str">
        <f t="shared" si="2"/>
        <v/>
      </c>
      <c r="E16" s="298" t="str">
        <f t="shared" si="3"/>
        <v/>
      </c>
      <c r="F16" s="87">
        <f t="shared" si="4"/>
        <v>42255</v>
      </c>
      <c r="G16" s="147"/>
      <c r="H16" s="74"/>
      <c r="I16" s="75"/>
      <c r="J16" s="221">
        <f t="shared" si="5"/>
        <v>0</v>
      </c>
      <c r="K16" s="76"/>
      <c r="L16" s="221">
        <f t="shared" si="43"/>
        <v>0</v>
      </c>
      <c r="M16" s="74"/>
      <c r="N16" s="75"/>
      <c r="O16" s="221">
        <f t="shared" si="6"/>
        <v>0</v>
      </c>
      <c r="P16" s="76"/>
      <c r="Q16" s="221">
        <f t="shared" si="44"/>
        <v>0</v>
      </c>
      <c r="R16" s="221">
        <f t="shared" si="45"/>
        <v>0</v>
      </c>
      <c r="S16" s="221">
        <f t="shared" si="7"/>
        <v>0</v>
      </c>
      <c r="T16" s="79">
        <f t="shared" si="8"/>
        <v>0</v>
      </c>
      <c r="U16" s="79">
        <f t="shared" si="39"/>
        <v>0</v>
      </c>
      <c r="V16" s="80">
        <f t="shared" ca="1" si="9"/>
        <v>0.33333333329999998</v>
      </c>
      <c r="W16" s="249" t="str">
        <f t="shared" ca="1" si="10"/>
        <v/>
      </c>
      <c r="X16" s="293"/>
      <c r="Y16" s="221">
        <f t="shared" si="11"/>
        <v>0</v>
      </c>
      <c r="Z16" s="299">
        <f ca="1">IF(B16="","",INDIRECT(ADDRESS(MATCH(B16,Soll_AZ,1)+MATCH("Arbeitszeit 1 ab",Voreinstellung_Übersicht!B:B,0)-1,WEEKDAY(B16,2)+4,,,"Voreinstellung_Übersicht"),TRUE))</f>
        <v>0.33333333333333331</v>
      </c>
      <c r="AA16" s="300">
        <f t="shared" ca="1" si="40"/>
        <v>0</v>
      </c>
      <c r="AB16" s="219">
        <f t="shared" si="12"/>
        <v>0</v>
      </c>
      <c r="AC16" s="219">
        <f t="shared" si="13"/>
        <v>0</v>
      </c>
      <c r="AD16" s="219">
        <f t="shared" si="14"/>
        <v>0</v>
      </c>
      <c r="AE16" s="219">
        <f t="shared" si="15"/>
        <v>0</v>
      </c>
      <c r="AF16" s="219">
        <f t="shared" si="16"/>
        <v>0</v>
      </c>
      <c r="AG16" s="219">
        <f t="shared" si="17"/>
        <v>0</v>
      </c>
      <c r="AH16" s="219">
        <f t="shared" si="18"/>
        <v>0</v>
      </c>
      <c r="AI16" s="219">
        <f t="shared" si="19"/>
        <v>0</v>
      </c>
      <c r="AJ16" s="219">
        <f t="shared" si="20"/>
        <v>0</v>
      </c>
      <c r="AK16" s="219">
        <f t="shared" si="21"/>
        <v>0</v>
      </c>
      <c r="AL16" s="219">
        <f t="shared" si="22"/>
        <v>0</v>
      </c>
      <c r="AM16" s="219">
        <f t="shared" si="23"/>
        <v>0</v>
      </c>
      <c r="AN16" s="301">
        <f t="shared" si="24"/>
        <v>0</v>
      </c>
      <c r="AO16" s="301">
        <f t="shared" si="25"/>
        <v>0</v>
      </c>
      <c r="AP16" s="301">
        <f t="shared" si="26"/>
        <v>0</v>
      </c>
      <c r="AQ16" s="301">
        <f t="shared" si="27"/>
        <v>0</v>
      </c>
      <c r="AR16" s="301">
        <f t="shared" si="28"/>
        <v>0</v>
      </c>
      <c r="AS16" s="301">
        <f t="shared" si="29"/>
        <v>0</v>
      </c>
      <c r="AT16" s="302">
        <f t="shared" si="30"/>
        <v>0</v>
      </c>
      <c r="AU16" s="302">
        <f t="shared" si="31"/>
        <v>0</v>
      </c>
      <c r="AV16" s="81">
        <f t="shared" si="32"/>
        <v>0</v>
      </c>
      <c r="AW16" s="82">
        <f t="shared" si="33"/>
        <v>0</v>
      </c>
      <c r="AX16" s="81">
        <f t="shared" si="34"/>
        <v>0</v>
      </c>
      <c r="AY16" s="83">
        <f t="shared" si="35"/>
        <v>0</v>
      </c>
      <c r="AZ16" s="83">
        <f t="shared" si="36"/>
        <v>0</v>
      </c>
      <c r="BA16" s="82">
        <f>IF(OR(B16=Feiertage!$A$16,B16=Feiertage!$A$19),U16*Zuschläge_24_31/100,IF(AZ16&gt;0,AZ16*Feiertag_mit/100,IF(AX16&gt;0,AX16*Zuschläge_Sa/100,IF(AY16&gt;0,AY16*Zuschlag_So/100,0))))</f>
        <v>0</v>
      </c>
      <c r="BB16" s="82">
        <f>IF(AND(B16&lt;&gt;0,G16=Voreinstellung_Übersicht!$D$41),IF(EG=1,W16*Über_klein/100,IF(EG=2,W16*Über_groß/100,"Fehler")),0)</f>
        <v>0</v>
      </c>
      <c r="BC16" s="299">
        <f t="shared" ca="1" si="41"/>
        <v>0</v>
      </c>
      <c r="BD16" s="219">
        <f t="shared" ca="1" si="37"/>
        <v>1</v>
      </c>
      <c r="BE16" s="303">
        <f ca="1">IF(B16="","",INDIRECT(ADDRESS(MATCH(B16,Soll_AZ,1)+MATCH("Arbeitszeit 1 ab",Voreinstellung_Übersicht!B:B,0)-1,4,,,"Voreinstellung_Übersicht"),TRUE))</f>
        <v>1.6666666666666665</v>
      </c>
      <c r="BF16" s="1">
        <f t="shared" si="42"/>
        <v>0</v>
      </c>
    </row>
    <row r="17" spans="1:58" s="1" customFormat="1" ht="15" x14ac:dyDescent="0.3">
      <c r="A17" s="218">
        <f t="shared" si="0"/>
        <v>37</v>
      </c>
      <c r="B17" s="47">
        <f t="shared" si="38"/>
        <v>42256</v>
      </c>
      <c r="C17" s="219">
        <f t="shared" si="1"/>
        <v>1</v>
      </c>
      <c r="D17" s="220" t="str">
        <f t="shared" si="2"/>
        <v/>
      </c>
      <c r="E17" s="298" t="str">
        <f t="shared" si="3"/>
        <v/>
      </c>
      <c r="F17" s="87">
        <f t="shared" si="4"/>
        <v>42256</v>
      </c>
      <c r="G17" s="147"/>
      <c r="H17" s="74"/>
      <c r="I17" s="75"/>
      <c r="J17" s="221">
        <f t="shared" si="5"/>
        <v>0</v>
      </c>
      <c r="K17" s="76"/>
      <c r="L17" s="221">
        <f t="shared" si="43"/>
        <v>0</v>
      </c>
      <c r="M17" s="74"/>
      <c r="N17" s="75"/>
      <c r="O17" s="221">
        <f t="shared" si="6"/>
        <v>0</v>
      </c>
      <c r="P17" s="76"/>
      <c r="Q17" s="221">
        <f t="shared" si="44"/>
        <v>0</v>
      </c>
      <c r="R17" s="221">
        <f t="shared" si="45"/>
        <v>0</v>
      </c>
      <c r="S17" s="221">
        <f t="shared" si="7"/>
        <v>0</v>
      </c>
      <c r="T17" s="79">
        <f t="shared" si="8"/>
        <v>0</v>
      </c>
      <c r="U17" s="79">
        <f t="shared" si="39"/>
        <v>0</v>
      </c>
      <c r="V17" s="80">
        <f t="shared" ca="1" si="9"/>
        <v>0.33333333329999998</v>
      </c>
      <c r="W17" s="249" t="str">
        <f t="shared" ca="1" si="10"/>
        <v/>
      </c>
      <c r="X17" s="293"/>
      <c r="Y17" s="221">
        <f t="shared" si="11"/>
        <v>0</v>
      </c>
      <c r="Z17" s="299">
        <f ca="1">IF(B17="","",INDIRECT(ADDRESS(MATCH(B17,Soll_AZ,1)+MATCH("Arbeitszeit 1 ab",Voreinstellung_Übersicht!B:B,0)-1,WEEKDAY(B17,2)+4,,,"Voreinstellung_Übersicht"),TRUE))</f>
        <v>0.33333333333333331</v>
      </c>
      <c r="AA17" s="300">
        <f t="shared" ca="1" si="40"/>
        <v>0</v>
      </c>
      <c r="AB17" s="219">
        <f t="shared" si="12"/>
        <v>0</v>
      </c>
      <c r="AC17" s="219">
        <f t="shared" si="13"/>
        <v>0</v>
      </c>
      <c r="AD17" s="219">
        <f t="shared" si="14"/>
        <v>0</v>
      </c>
      <c r="AE17" s="219">
        <f t="shared" si="15"/>
        <v>0</v>
      </c>
      <c r="AF17" s="219">
        <f t="shared" si="16"/>
        <v>0</v>
      </c>
      <c r="AG17" s="219">
        <f t="shared" si="17"/>
        <v>0</v>
      </c>
      <c r="AH17" s="219">
        <f t="shared" si="18"/>
        <v>0</v>
      </c>
      <c r="AI17" s="219">
        <f t="shared" si="19"/>
        <v>0</v>
      </c>
      <c r="AJ17" s="219">
        <f t="shared" si="20"/>
        <v>0</v>
      </c>
      <c r="AK17" s="219">
        <f t="shared" si="21"/>
        <v>0</v>
      </c>
      <c r="AL17" s="219">
        <f t="shared" si="22"/>
        <v>0</v>
      </c>
      <c r="AM17" s="219">
        <f t="shared" si="23"/>
        <v>0</v>
      </c>
      <c r="AN17" s="301">
        <f t="shared" si="24"/>
        <v>0</v>
      </c>
      <c r="AO17" s="301">
        <f t="shared" si="25"/>
        <v>0</v>
      </c>
      <c r="AP17" s="301">
        <f t="shared" si="26"/>
        <v>0</v>
      </c>
      <c r="AQ17" s="301">
        <f t="shared" si="27"/>
        <v>0</v>
      </c>
      <c r="AR17" s="301">
        <f t="shared" si="28"/>
        <v>0</v>
      </c>
      <c r="AS17" s="301">
        <f t="shared" si="29"/>
        <v>0</v>
      </c>
      <c r="AT17" s="302">
        <f t="shared" si="30"/>
        <v>0</v>
      </c>
      <c r="AU17" s="302">
        <f t="shared" si="31"/>
        <v>0</v>
      </c>
      <c r="AV17" s="81">
        <f t="shared" si="32"/>
        <v>0</v>
      </c>
      <c r="AW17" s="82">
        <f t="shared" si="33"/>
        <v>0</v>
      </c>
      <c r="AX17" s="81">
        <f t="shared" si="34"/>
        <v>0</v>
      </c>
      <c r="AY17" s="83">
        <f t="shared" si="35"/>
        <v>0</v>
      </c>
      <c r="AZ17" s="83">
        <f t="shared" si="36"/>
        <v>0</v>
      </c>
      <c r="BA17" s="82">
        <f>IF(OR(B17=Feiertage!$A$16,B17=Feiertage!$A$19),U17*Zuschläge_24_31/100,IF(AZ17&gt;0,AZ17*Feiertag_mit/100,IF(AX17&gt;0,AX17*Zuschläge_Sa/100,IF(AY17&gt;0,AY17*Zuschlag_So/100,0))))</f>
        <v>0</v>
      </c>
      <c r="BB17" s="82">
        <f>IF(AND(B17&lt;&gt;0,G17=Voreinstellung_Übersicht!$D$41),IF(EG=1,W17*Über_klein/100,IF(EG=2,W17*Über_groß/100,"Fehler")),0)</f>
        <v>0</v>
      </c>
      <c r="BC17" s="299">
        <f t="shared" ca="1" si="41"/>
        <v>0</v>
      </c>
      <c r="BD17" s="219">
        <f t="shared" ca="1" si="37"/>
        <v>1</v>
      </c>
      <c r="BE17" s="303">
        <f ca="1">IF(B17="","",INDIRECT(ADDRESS(MATCH(B17,Soll_AZ,1)+MATCH("Arbeitszeit 1 ab",Voreinstellung_Übersicht!B:B,0)-1,4,,,"Voreinstellung_Übersicht"),TRUE))</f>
        <v>1.6666666666666665</v>
      </c>
      <c r="BF17" s="1">
        <f t="shared" si="42"/>
        <v>0</v>
      </c>
    </row>
    <row r="18" spans="1:58" s="1" customFormat="1" ht="15" x14ac:dyDescent="0.3">
      <c r="A18" s="218">
        <f t="shared" si="0"/>
        <v>37</v>
      </c>
      <c r="B18" s="47">
        <f t="shared" si="38"/>
        <v>42257</v>
      </c>
      <c r="C18" s="219">
        <f t="shared" si="1"/>
        <v>1</v>
      </c>
      <c r="D18" s="220" t="str">
        <f t="shared" si="2"/>
        <v/>
      </c>
      <c r="E18" s="298" t="str">
        <f t="shared" si="3"/>
        <v/>
      </c>
      <c r="F18" s="87">
        <f t="shared" si="4"/>
        <v>42257</v>
      </c>
      <c r="G18" s="147"/>
      <c r="H18" s="74"/>
      <c r="I18" s="75"/>
      <c r="J18" s="221">
        <f t="shared" si="5"/>
        <v>0</v>
      </c>
      <c r="K18" s="76"/>
      <c r="L18" s="221">
        <f t="shared" si="43"/>
        <v>0</v>
      </c>
      <c r="M18" s="74"/>
      <c r="N18" s="75"/>
      <c r="O18" s="221">
        <f t="shared" si="6"/>
        <v>0</v>
      </c>
      <c r="P18" s="76"/>
      <c r="Q18" s="221">
        <f t="shared" si="44"/>
        <v>0</v>
      </c>
      <c r="R18" s="221">
        <f t="shared" si="45"/>
        <v>0</v>
      </c>
      <c r="S18" s="221">
        <f t="shared" si="7"/>
        <v>0</v>
      </c>
      <c r="T18" s="79">
        <f t="shared" si="8"/>
        <v>0</v>
      </c>
      <c r="U18" s="79">
        <f t="shared" si="39"/>
        <v>0</v>
      </c>
      <c r="V18" s="80">
        <f t="shared" ca="1" si="9"/>
        <v>0.33333333329999998</v>
      </c>
      <c r="W18" s="249" t="str">
        <f t="shared" ca="1" si="10"/>
        <v/>
      </c>
      <c r="X18" s="293"/>
      <c r="Y18" s="221">
        <f t="shared" si="11"/>
        <v>0</v>
      </c>
      <c r="Z18" s="299">
        <f ca="1">IF(B18="","",INDIRECT(ADDRESS(MATCH(B18,Soll_AZ,1)+MATCH("Arbeitszeit 1 ab",Voreinstellung_Übersicht!B:B,0)-1,WEEKDAY(B18,2)+4,,,"Voreinstellung_Übersicht"),TRUE))</f>
        <v>0.33333333333333331</v>
      </c>
      <c r="AA18" s="300">
        <f t="shared" ca="1" si="40"/>
        <v>0</v>
      </c>
      <c r="AB18" s="219">
        <f t="shared" si="12"/>
        <v>0</v>
      </c>
      <c r="AC18" s="219">
        <f t="shared" si="13"/>
        <v>0</v>
      </c>
      <c r="AD18" s="219">
        <f t="shared" si="14"/>
        <v>0</v>
      </c>
      <c r="AE18" s="219">
        <f t="shared" si="15"/>
        <v>0</v>
      </c>
      <c r="AF18" s="219">
        <f t="shared" si="16"/>
        <v>0</v>
      </c>
      <c r="AG18" s="219">
        <f t="shared" si="17"/>
        <v>0</v>
      </c>
      <c r="AH18" s="219">
        <f t="shared" si="18"/>
        <v>0</v>
      </c>
      <c r="AI18" s="219">
        <f t="shared" si="19"/>
        <v>0</v>
      </c>
      <c r="AJ18" s="219">
        <f t="shared" si="20"/>
        <v>0</v>
      </c>
      <c r="AK18" s="219">
        <f t="shared" si="21"/>
        <v>0</v>
      </c>
      <c r="AL18" s="219">
        <f t="shared" si="22"/>
        <v>0</v>
      </c>
      <c r="AM18" s="219">
        <f t="shared" si="23"/>
        <v>0</v>
      </c>
      <c r="AN18" s="301">
        <f t="shared" si="24"/>
        <v>0</v>
      </c>
      <c r="AO18" s="301">
        <f t="shared" si="25"/>
        <v>0</v>
      </c>
      <c r="AP18" s="301">
        <f t="shared" si="26"/>
        <v>0</v>
      </c>
      <c r="AQ18" s="301">
        <f t="shared" si="27"/>
        <v>0</v>
      </c>
      <c r="AR18" s="301">
        <f t="shared" si="28"/>
        <v>0</v>
      </c>
      <c r="AS18" s="301">
        <f t="shared" si="29"/>
        <v>0</v>
      </c>
      <c r="AT18" s="302">
        <f t="shared" si="30"/>
        <v>0</v>
      </c>
      <c r="AU18" s="302">
        <f t="shared" si="31"/>
        <v>0</v>
      </c>
      <c r="AV18" s="81">
        <f t="shared" si="32"/>
        <v>0</v>
      </c>
      <c r="AW18" s="82">
        <f t="shared" si="33"/>
        <v>0</v>
      </c>
      <c r="AX18" s="81">
        <f t="shared" si="34"/>
        <v>0</v>
      </c>
      <c r="AY18" s="83">
        <f t="shared" si="35"/>
        <v>0</v>
      </c>
      <c r="AZ18" s="83">
        <f t="shared" si="36"/>
        <v>0</v>
      </c>
      <c r="BA18" s="82">
        <f>IF(OR(B18=Feiertage!$A$16,B18=Feiertage!$A$19),U18*Zuschläge_24_31/100,IF(AZ18&gt;0,AZ18*Feiertag_mit/100,IF(AX18&gt;0,AX18*Zuschläge_Sa/100,IF(AY18&gt;0,AY18*Zuschlag_So/100,0))))</f>
        <v>0</v>
      </c>
      <c r="BB18" s="82">
        <f>IF(AND(B18&lt;&gt;0,G18=Voreinstellung_Übersicht!$D$41),IF(EG=1,W18*Über_klein/100,IF(EG=2,W18*Über_groß/100,"Fehler")),0)</f>
        <v>0</v>
      </c>
      <c r="BC18" s="299">
        <f t="shared" ca="1" si="41"/>
        <v>0</v>
      </c>
      <c r="BD18" s="219">
        <f t="shared" ca="1" si="37"/>
        <v>1</v>
      </c>
      <c r="BE18" s="303">
        <f ca="1">IF(B18="","",INDIRECT(ADDRESS(MATCH(B18,Soll_AZ,1)+MATCH("Arbeitszeit 1 ab",Voreinstellung_Übersicht!B:B,0)-1,4,,,"Voreinstellung_Übersicht"),TRUE))</f>
        <v>1.6666666666666665</v>
      </c>
      <c r="BF18" s="1">
        <f t="shared" si="42"/>
        <v>0</v>
      </c>
    </row>
    <row r="19" spans="1:58" s="1" customFormat="1" ht="15" x14ac:dyDescent="0.3">
      <c r="A19" s="218">
        <f t="shared" si="0"/>
        <v>37</v>
      </c>
      <c r="B19" s="47">
        <f t="shared" si="38"/>
        <v>42258</v>
      </c>
      <c r="C19" s="219">
        <f t="shared" si="1"/>
        <v>1</v>
      </c>
      <c r="D19" s="220" t="str">
        <f t="shared" si="2"/>
        <v/>
      </c>
      <c r="E19" s="298" t="str">
        <f t="shared" si="3"/>
        <v/>
      </c>
      <c r="F19" s="87">
        <f t="shared" si="4"/>
        <v>42258</v>
      </c>
      <c r="G19" s="147"/>
      <c r="H19" s="74"/>
      <c r="I19" s="75"/>
      <c r="J19" s="221">
        <f t="shared" si="5"/>
        <v>0</v>
      </c>
      <c r="K19" s="76"/>
      <c r="L19" s="221">
        <f t="shared" si="43"/>
        <v>0</v>
      </c>
      <c r="M19" s="74"/>
      <c r="N19" s="75"/>
      <c r="O19" s="221">
        <f t="shared" si="6"/>
        <v>0</v>
      </c>
      <c r="P19" s="76"/>
      <c r="Q19" s="221">
        <f t="shared" si="44"/>
        <v>0</v>
      </c>
      <c r="R19" s="221">
        <f t="shared" si="45"/>
        <v>0</v>
      </c>
      <c r="S19" s="221">
        <f t="shared" si="7"/>
        <v>0</v>
      </c>
      <c r="T19" s="79">
        <f t="shared" si="8"/>
        <v>0</v>
      </c>
      <c r="U19" s="79">
        <f t="shared" si="39"/>
        <v>0</v>
      </c>
      <c r="V19" s="80">
        <f t="shared" ca="1" si="9"/>
        <v>0.33333333329999998</v>
      </c>
      <c r="W19" s="249" t="str">
        <f t="shared" ca="1" si="10"/>
        <v/>
      </c>
      <c r="X19" s="293"/>
      <c r="Y19" s="221">
        <f t="shared" si="11"/>
        <v>0</v>
      </c>
      <c r="Z19" s="299">
        <f ca="1">IF(B19="","",INDIRECT(ADDRESS(MATCH(B19,Soll_AZ,1)+MATCH("Arbeitszeit 1 ab",Voreinstellung_Übersicht!B:B,0)-1,WEEKDAY(B19,2)+4,,,"Voreinstellung_Übersicht"),TRUE))</f>
        <v>0.33333333333333331</v>
      </c>
      <c r="AA19" s="300">
        <f t="shared" ca="1" si="40"/>
        <v>0</v>
      </c>
      <c r="AB19" s="219">
        <f t="shared" si="12"/>
        <v>0</v>
      </c>
      <c r="AC19" s="219">
        <f t="shared" si="13"/>
        <v>0</v>
      </c>
      <c r="AD19" s="219">
        <f t="shared" si="14"/>
        <v>0</v>
      </c>
      <c r="AE19" s="219">
        <f t="shared" si="15"/>
        <v>0</v>
      </c>
      <c r="AF19" s="219">
        <f t="shared" si="16"/>
        <v>0</v>
      </c>
      <c r="AG19" s="219">
        <f t="shared" si="17"/>
        <v>0</v>
      </c>
      <c r="AH19" s="219">
        <f t="shared" si="18"/>
        <v>0</v>
      </c>
      <c r="AI19" s="219">
        <f t="shared" si="19"/>
        <v>0</v>
      </c>
      <c r="AJ19" s="219">
        <f t="shared" si="20"/>
        <v>0</v>
      </c>
      <c r="AK19" s="219">
        <f t="shared" si="21"/>
        <v>0</v>
      </c>
      <c r="AL19" s="219">
        <f t="shared" si="22"/>
        <v>0</v>
      </c>
      <c r="AM19" s="219">
        <f t="shared" si="23"/>
        <v>0</v>
      </c>
      <c r="AN19" s="301">
        <f t="shared" si="24"/>
        <v>0</v>
      </c>
      <c r="AO19" s="301">
        <f t="shared" si="25"/>
        <v>0</v>
      </c>
      <c r="AP19" s="301">
        <f t="shared" si="26"/>
        <v>0</v>
      </c>
      <c r="AQ19" s="301">
        <f t="shared" si="27"/>
        <v>0</v>
      </c>
      <c r="AR19" s="301">
        <f t="shared" si="28"/>
        <v>0</v>
      </c>
      <c r="AS19" s="301">
        <f t="shared" si="29"/>
        <v>0</v>
      </c>
      <c r="AT19" s="302">
        <f t="shared" si="30"/>
        <v>0</v>
      </c>
      <c r="AU19" s="302">
        <f t="shared" si="31"/>
        <v>0</v>
      </c>
      <c r="AV19" s="81">
        <f t="shared" si="32"/>
        <v>0</v>
      </c>
      <c r="AW19" s="82">
        <f t="shared" si="33"/>
        <v>0</v>
      </c>
      <c r="AX19" s="81">
        <f t="shared" si="34"/>
        <v>0</v>
      </c>
      <c r="AY19" s="83">
        <f t="shared" si="35"/>
        <v>0</v>
      </c>
      <c r="AZ19" s="83">
        <f t="shared" si="36"/>
        <v>0</v>
      </c>
      <c r="BA19" s="82">
        <f>IF(OR(B19=Feiertage!$A$16,B19=Feiertage!$A$19),U19*Zuschläge_24_31/100,IF(AZ19&gt;0,AZ19*Feiertag_mit/100,IF(AX19&gt;0,AX19*Zuschläge_Sa/100,IF(AY19&gt;0,AY19*Zuschlag_So/100,0))))</f>
        <v>0</v>
      </c>
      <c r="BB19" s="82">
        <f>IF(AND(B19&lt;&gt;0,G19=Voreinstellung_Übersicht!$D$41),IF(EG=1,W19*Über_klein/100,IF(EG=2,W19*Über_groß/100,"Fehler")),0)</f>
        <v>0</v>
      </c>
      <c r="BC19" s="299">
        <f t="shared" ca="1" si="41"/>
        <v>0</v>
      </c>
      <c r="BD19" s="219">
        <f t="shared" ca="1" si="37"/>
        <v>1</v>
      </c>
      <c r="BE19" s="303">
        <f ca="1">IF(B19="","",INDIRECT(ADDRESS(MATCH(B19,Soll_AZ,1)+MATCH("Arbeitszeit 1 ab",Voreinstellung_Übersicht!B:B,0)-1,4,,,"Voreinstellung_Übersicht"),TRUE))</f>
        <v>1.6666666666666665</v>
      </c>
      <c r="BF19" s="1">
        <f t="shared" si="42"/>
        <v>0</v>
      </c>
    </row>
    <row r="20" spans="1:58" s="1" customFormat="1" ht="15" x14ac:dyDescent="0.3">
      <c r="A20" s="218">
        <f t="shared" si="0"/>
        <v>37</v>
      </c>
      <c r="B20" s="47">
        <f t="shared" si="38"/>
        <v>42259</v>
      </c>
      <c r="C20" s="219">
        <f t="shared" si="1"/>
        <v>1</v>
      </c>
      <c r="D20" s="220" t="str">
        <f t="shared" si="2"/>
        <v/>
      </c>
      <c r="E20" s="298" t="str">
        <f t="shared" si="3"/>
        <v/>
      </c>
      <c r="F20" s="87">
        <f t="shared" si="4"/>
        <v>42259</v>
      </c>
      <c r="G20" s="147"/>
      <c r="H20" s="74"/>
      <c r="I20" s="75"/>
      <c r="J20" s="221">
        <f t="shared" si="5"/>
        <v>0</v>
      </c>
      <c r="K20" s="76"/>
      <c r="L20" s="221">
        <f t="shared" si="43"/>
        <v>0</v>
      </c>
      <c r="M20" s="74"/>
      <c r="N20" s="75"/>
      <c r="O20" s="221">
        <f t="shared" si="6"/>
        <v>0</v>
      </c>
      <c r="P20" s="76"/>
      <c r="Q20" s="221">
        <f t="shared" si="44"/>
        <v>0</v>
      </c>
      <c r="R20" s="221">
        <f t="shared" si="45"/>
        <v>0</v>
      </c>
      <c r="S20" s="221">
        <f t="shared" si="7"/>
        <v>0</v>
      </c>
      <c r="T20" s="79">
        <f t="shared" si="8"/>
        <v>0</v>
      </c>
      <c r="U20" s="79">
        <f t="shared" si="39"/>
        <v>0</v>
      </c>
      <c r="V20" s="80">
        <f t="shared" ca="1" si="9"/>
        <v>0.33333333329999998</v>
      </c>
      <c r="W20" s="249" t="str">
        <f t="shared" ca="1" si="10"/>
        <v/>
      </c>
      <c r="X20" s="293"/>
      <c r="Y20" s="221">
        <f t="shared" si="11"/>
        <v>0</v>
      </c>
      <c r="Z20" s="299">
        <f ca="1">IF(B20="","",INDIRECT(ADDRESS(MATCH(B20,Soll_AZ,1)+MATCH("Arbeitszeit 1 ab",Voreinstellung_Übersicht!B:B,0)-1,WEEKDAY(B20,2)+4,,,"Voreinstellung_Übersicht"),TRUE))</f>
        <v>0.33333333333333331</v>
      </c>
      <c r="AA20" s="300">
        <f t="shared" ca="1" si="40"/>
        <v>0</v>
      </c>
      <c r="AB20" s="219">
        <f t="shared" si="12"/>
        <v>0</v>
      </c>
      <c r="AC20" s="219">
        <f t="shared" si="13"/>
        <v>0</v>
      </c>
      <c r="AD20" s="219">
        <f t="shared" si="14"/>
        <v>0</v>
      </c>
      <c r="AE20" s="219">
        <f t="shared" si="15"/>
        <v>0</v>
      </c>
      <c r="AF20" s="219">
        <f t="shared" si="16"/>
        <v>0</v>
      </c>
      <c r="AG20" s="219">
        <f t="shared" si="17"/>
        <v>0</v>
      </c>
      <c r="AH20" s="219">
        <f t="shared" si="18"/>
        <v>0</v>
      </c>
      <c r="AI20" s="219">
        <f t="shared" si="19"/>
        <v>0</v>
      </c>
      <c r="AJ20" s="219">
        <f t="shared" si="20"/>
        <v>0</v>
      </c>
      <c r="AK20" s="219">
        <f t="shared" si="21"/>
        <v>0</v>
      </c>
      <c r="AL20" s="219">
        <f t="shared" si="22"/>
        <v>0</v>
      </c>
      <c r="AM20" s="219">
        <f t="shared" si="23"/>
        <v>0</v>
      </c>
      <c r="AN20" s="301">
        <f t="shared" si="24"/>
        <v>0</v>
      </c>
      <c r="AO20" s="301">
        <f t="shared" si="25"/>
        <v>0</v>
      </c>
      <c r="AP20" s="301">
        <f t="shared" si="26"/>
        <v>0</v>
      </c>
      <c r="AQ20" s="301">
        <f t="shared" si="27"/>
        <v>0</v>
      </c>
      <c r="AR20" s="301">
        <f t="shared" si="28"/>
        <v>0</v>
      </c>
      <c r="AS20" s="301">
        <f t="shared" si="29"/>
        <v>0</v>
      </c>
      <c r="AT20" s="302">
        <f t="shared" si="30"/>
        <v>0</v>
      </c>
      <c r="AU20" s="302">
        <f t="shared" si="31"/>
        <v>0</v>
      </c>
      <c r="AV20" s="81">
        <f t="shared" si="32"/>
        <v>0</v>
      </c>
      <c r="AW20" s="82">
        <f t="shared" si="33"/>
        <v>0</v>
      </c>
      <c r="AX20" s="81">
        <f t="shared" si="34"/>
        <v>0</v>
      </c>
      <c r="AY20" s="83">
        <f t="shared" si="35"/>
        <v>0</v>
      </c>
      <c r="AZ20" s="83">
        <f t="shared" si="36"/>
        <v>0</v>
      </c>
      <c r="BA20" s="82">
        <f>IF(OR(B20=Feiertage!$A$16,B20=Feiertage!$A$19),U20*Zuschläge_24_31/100,IF(AZ20&gt;0,AZ20*Feiertag_mit/100,IF(AX20&gt;0,AX20*Zuschläge_Sa/100,IF(AY20&gt;0,AY20*Zuschlag_So/100,0))))</f>
        <v>0</v>
      </c>
      <c r="BB20" s="82">
        <f>IF(AND(B20&lt;&gt;0,G20=Voreinstellung_Übersicht!$D$41),IF(EG=1,W20*Über_klein/100,IF(EG=2,W20*Über_groß/100,"Fehler")),0)</f>
        <v>0</v>
      </c>
      <c r="BC20" s="299">
        <f t="shared" ca="1" si="41"/>
        <v>0</v>
      </c>
      <c r="BD20" s="219">
        <f t="shared" ca="1" si="37"/>
        <v>1</v>
      </c>
      <c r="BE20" s="303">
        <f ca="1">IF(B20="","",INDIRECT(ADDRESS(MATCH(B20,Soll_AZ,1)+MATCH("Arbeitszeit 1 ab",Voreinstellung_Übersicht!B:B,0)-1,4,,,"Voreinstellung_Übersicht"),TRUE))</f>
        <v>1.6666666666666665</v>
      </c>
      <c r="BF20" s="1">
        <f t="shared" si="42"/>
        <v>0</v>
      </c>
    </row>
    <row r="21" spans="1:58" s="1" customFormat="1" ht="15" x14ac:dyDescent="0.3">
      <c r="A21" s="218">
        <f t="shared" si="0"/>
        <v>37</v>
      </c>
      <c r="B21" s="47">
        <f t="shared" si="38"/>
        <v>42260</v>
      </c>
      <c r="C21" s="219">
        <f t="shared" si="1"/>
        <v>0</v>
      </c>
      <c r="D21" s="220" t="str">
        <f t="shared" si="2"/>
        <v/>
      </c>
      <c r="E21" s="298" t="str">
        <f t="shared" si="3"/>
        <v/>
      </c>
      <c r="F21" s="87">
        <f t="shared" si="4"/>
        <v>42260</v>
      </c>
      <c r="G21" s="147"/>
      <c r="H21" s="74"/>
      <c r="I21" s="75"/>
      <c r="J21" s="221">
        <f t="shared" si="5"/>
        <v>0</v>
      </c>
      <c r="K21" s="76"/>
      <c r="L21" s="221">
        <f t="shared" si="43"/>
        <v>0</v>
      </c>
      <c r="M21" s="74"/>
      <c r="N21" s="75"/>
      <c r="O21" s="221">
        <f t="shared" si="6"/>
        <v>0</v>
      </c>
      <c r="P21" s="76"/>
      <c r="Q21" s="221">
        <f t="shared" si="44"/>
        <v>0</v>
      </c>
      <c r="R21" s="221">
        <f t="shared" si="45"/>
        <v>0</v>
      </c>
      <c r="S21" s="221">
        <f t="shared" si="7"/>
        <v>0</v>
      </c>
      <c r="T21" s="79">
        <f t="shared" si="8"/>
        <v>0</v>
      </c>
      <c r="U21" s="79">
        <f t="shared" si="39"/>
        <v>0</v>
      </c>
      <c r="V21" s="80">
        <f t="shared" ca="1" si="9"/>
        <v>0</v>
      </c>
      <c r="W21" s="249" t="str">
        <f t="shared" ca="1" si="10"/>
        <v/>
      </c>
      <c r="X21" s="293"/>
      <c r="Y21" s="221">
        <f t="shared" si="11"/>
        <v>0</v>
      </c>
      <c r="Z21" s="299">
        <f ca="1">IF(B21="","",INDIRECT(ADDRESS(MATCH(B21,Soll_AZ,1)+MATCH("Arbeitszeit 1 ab",Voreinstellung_Übersicht!B:B,0)-1,WEEKDAY(B21,2)+4,,,"Voreinstellung_Übersicht"),TRUE))</f>
        <v>0</v>
      </c>
      <c r="AA21" s="300">
        <f t="shared" ca="1" si="40"/>
        <v>0</v>
      </c>
      <c r="AB21" s="219">
        <f t="shared" si="12"/>
        <v>0</v>
      </c>
      <c r="AC21" s="219">
        <f t="shared" si="13"/>
        <v>0</v>
      </c>
      <c r="AD21" s="219">
        <f t="shared" si="14"/>
        <v>0</v>
      </c>
      <c r="AE21" s="219">
        <f t="shared" si="15"/>
        <v>0</v>
      </c>
      <c r="AF21" s="219">
        <f t="shared" si="16"/>
        <v>0</v>
      </c>
      <c r="AG21" s="219">
        <f t="shared" si="17"/>
        <v>0</v>
      </c>
      <c r="AH21" s="219">
        <f t="shared" si="18"/>
        <v>0</v>
      </c>
      <c r="AI21" s="219">
        <f t="shared" si="19"/>
        <v>0</v>
      </c>
      <c r="AJ21" s="219">
        <f t="shared" si="20"/>
        <v>0</v>
      </c>
      <c r="AK21" s="219">
        <f t="shared" si="21"/>
        <v>0</v>
      </c>
      <c r="AL21" s="219">
        <f t="shared" si="22"/>
        <v>0</v>
      </c>
      <c r="AM21" s="219">
        <f t="shared" si="23"/>
        <v>0</v>
      </c>
      <c r="AN21" s="301">
        <f t="shared" si="24"/>
        <v>0</v>
      </c>
      <c r="AO21" s="301">
        <f t="shared" si="25"/>
        <v>0</v>
      </c>
      <c r="AP21" s="301">
        <f t="shared" si="26"/>
        <v>0</v>
      </c>
      <c r="AQ21" s="301">
        <f t="shared" si="27"/>
        <v>0</v>
      </c>
      <c r="AR21" s="301">
        <f t="shared" si="28"/>
        <v>0</v>
      </c>
      <c r="AS21" s="301">
        <f t="shared" si="29"/>
        <v>0</v>
      </c>
      <c r="AT21" s="302">
        <f t="shared" si="30"/>
        <v>0</v>
      </c>
      <c r="AU21" s="302">
        <f t="shared" si="31"/>
        <v>0</v>
      </c>
      <c r="AV21" s="81">
        <f t="shared" si="32"/>
        <v>0</v>
      </c>
      <c r="AW21" s="82">
        <f t="shared" si="33"/>
        <v>0</v>
      </c>
      <c r="AX21" s="81">
        <f t="shared" si="34"/>
        <v>0</v>
      </c>
      <c r="AY21" s="83">
        <f t="shared" si="35"/>
        <v>0</v>
      </c>
      <c r="AZ21" s="83">
        <f t="shared" si="36"/>
        <v>0</v>
      </c>
      <c r="BA21" s="82">
        <f>IF(OR(B21=Feiertage!$A$16,B21=Feiertage!$A$19),U21*Zuschläge_24_31/100,IF(AZ21&gt;0,AZ21*Feiertag_mit/100,IF(AX21&gt;0,AX21*Zuschläge_Sa/100,IF(AY21&gt;0,AY21*Zuschlag_So/100,0))))</f>
        <v>0</v>
      </c>
      <c r="BB21" s="82">
        <f>IF(AND(B21&lt;&gt;0,G21=Voreinstellung_Übersicht!$D$41),IF(EG=1,W21*Über_klein/100,IF(EG=2,W21*Über_groß/100,"Fehler")),0)</f>
        <v>0</v>
      </c>
      <c r="BC21" s="299">
        <f t="shared" ca="1" si="41"/>
        <v>0</v>
      </c>
      <c r="BD21" s="219">
        <f t="shared" ca="1" si="37"/>
        <v>1</v>
      </c>
      <c r="BE21" s="303">
        <f ca="1">IF(B21="","",INDIRECT(ADDRESS(MATCH(B21,Soll_AZ,1)+MATCH("Arbeitszeit 1 ab",Voreinstellung_Übersicht!B:B,0)-1,4,,,"Voreinstellung_Übersicht"),TRUE))</f>
        <v>1.6666666666666665</v>
      </c>
      <c r="BF21" s="1">
        <f t="shared" si="42"/>
        <v>0</v>
      </c>
    </row>
    <row r="22" spans="1:58" s="1" customFormat="1" ht="15" x14ac:dyDescent="0.3">
      <c r="A22" s="218">
        <f t="shared" si="0"/>
        <v>38</v>
      </c>
      <c r="B22" s="47">
        <f t="shared" si="38"/>
        <v>42261</v>
      </c>
      <c r="C22" s="219">
        <f t="shared" si="1"/>
        <v>0</v>
      </c>
      <c r="D22" s="220" t="str">
        <f t="shared" si="2"/>
        <v/>
      </c>
      <c r="E22" s="298" t="str">
        <f t="shared" si="3"/>
        <v/>
      </c>
      <c r="F22" s="87">
        <f t="shared" si="4"/>
        <v>42261</v>
      </c>
      <c r="G22" s="147"/>
      <c r="H22" s="74"/>
      <c r="I22" s="75"/>
      <c r="J22" s="221">
        <f t="shared" si="5"/>
        <v>0</v>
      </c>
      <c r="K22" s="76"/>
      <c r="L22" s="221">
        <f t="shared" si="43"/>
        <v>0</v>
      </c>
      <c r="M22" s="74"/>
      <c r="N22" s="75"/>
      <c r="O22" s="221">
        <f t="shared" si="6"/>
        <v>0</v>
      </c>
      <c r="P22" s="76"/>
      <c r="Q22" s="221">
        <f t="shared" si="44"/>
        <v>0</v>
      </c>
      <c r="R22" s="221">
        <f t="shared" si="45"/>
        <v>0</v>
      </c>
      <c r="S22" s="221">
        <f t="shared" si="7"/>
        <v>0</v>
      </c>
      <c r="T22" s="79">
        <f t="shared" si="8"/>
        <v>0</v>
      </c>
      <c r="U22" s="79">
        <f t="shared" si="39"/>
        <v>0</v>
      </c>
      <c r="V22" s="80">
        <f t="shared" ca="1" si="9"/>
        <v>0</v>
      </c>
      <c r="W22" s="249" t="str">
        <f t="shared" ca="1" si="10"/>
        <v/>
      </c>
      <c r="X22" s="293"/>
      <c r="Y22" s="221">
        <f t="shared" si="11"/>
        <v>0</v>
      </c>
      <c r="Z22" s="299">
        <f ca="1">IF(B22="","",INDIRECT(ADDRESS(MATCH(B22,Soll_AZ,1)+MATCH("Arbeitszeit 1 ab",Voreinstellung_Übersicht!B:B,0)-1,WEEKDAY(B22,2)+4,,,"Voreinstellung_Übersicht"),TRUE))</f>
        <v>0</v>
      </c>
      <c r="AA22" s="300">
        <f t="shared" ca="1" si="40"/>
        <v>0</v>
      </c>
      <c r="AB22" s="219">
        <f t="shared" si="12"/>
        <v>0</v>
      </c>
      <c r="AC22" s="219">
        <f t="shared" si="13"/>
        <v>0</v>
      </c>
      <c r="AD22" s="219">
        <f t="shared" si="14"/>
        <v>0</v>
      </c>
      <c r="AE22" s="219">
        <f t="shared" si="15"/>
        <v>0</v>
      </c>
      <c r="AF22" s="219">
        <f t="shared" si="16"/>
        <v>0</v>
      </c>
      <c r="AG22" s="219">
        <f t="shared" si="17"/>
        <v>0</v>
      </c>
      <c r="AH22" s="219">
        <f t="shared" si="18"/>
        <v>0</v>
      </c>
      <c r="AI22" s="219">
        <f t="shared" si="19"/>
        <v>0</v>
      </c>
      <c r="AJ22" s="219">
        <f t="shared" si="20"/>
        <v>0</v>
      </c>
      <c r="AK22" s="219">
        <f t="shared" si="21"/>
        <v>0</v>
      </c>
      <c r="AL22" s="219">
        <f t="shared" si="22"/>
        <v>0</v>
      </c>
      <c r="AM22" s="219">
        <f t="shared" si="23"/>
        <v>0</v>
      </c>
      <c r="AN22" s="301">
        <f t="shared" si="24"/>
        <v>0</v>
      </c>
      <c r="AO22" s="301">
        <f t="shared" si="25"/>
        <v>0</v>
      </c>
      <c r="AP22" s="301">
        <f t="shared" si="26"/>
        <v>0</v>
      </c>
      <c r="AQ22" s="301">
        <f t="shared" si="27"/>
        <v>0</v>
      </c>
      <c r="AR22" s="301">
        <f t="shared" si="28"/>
        <v>0</v>
      </c>
      <c r="AS22" s="301">
        <f t="shared" si="29"/>
        <v>0</v>
      </c>
      <c r="AT22" s="302">
        <f t="shared" si="30"/>
        <v>0</v>
      </c>
      <c r="AU22" s="302">
        <f t="shared" si="31"/>
        <v>0</v>
      </c>
      <c r="AV22" s="81">
        <f t="shared" si="32"/>
        <v>0</v>
      </c>
      <c r="AW22" s="82">
        <f t="shared" si="33"/>
        <v>0</v>
      </c>
      <c r="AX22" s="81">
        <f t="shared" si="34"/>
        <v>0</v>
      </c>
      <c r="AY22" s="83">
        <f t="shared" si="35"/>
        <v>0</v>
      </c>
      <c r="AZ22" s="83">
        <f t="shared" si="36"/>
        <v>0</v>
      </c>
      <c r="BA22" s="82">
        <f>IF(OR(B22=Feiertage!$A$16,B22=Feiertage!$A$19),U22*Zuschläge_24_31/100,IF(AZ22&gt;0,AZ22*Feiertag_mit/100,IF(AX22&gt;0,AX22*Zuschläge_Sa/100,IF(AY22&gt;0,AY22*Zuschlag_So/100,0))))</f>
        <v>0</v>
      </c>
      <c r="BB22" s="82">
        <f>IF(AND(B22&lt;&gt;0,G22=Voreinstellung_Übersicht!$D$41),IF(EG=1,W22*Über_klein/100,IF(EG=2,W22*Über_groß/100,"Fehler")),0)</f>
        <v>0</v>
      </c>
      <c r="BC22" s="299">
        <f t="shared" ca="1" si="41"/>
        <v>0</v>
      </c>
      <c r="BD22" s="219">
        <f t="shared" ca="1" si="37"/>
        <v>1</v>
      </c>
      <c r="BE22" s="303">
        <f ca="1">IF(B22="","",INDIRECT(ADDRESS(MATCH(B22,Soll_AZ,1)+MATCH("Arbeitszeit 1 ab",Voreinstellung_Übersicht!B:B,0)-1,4,,,"Voreinstellung_Übersicht"),TRUE))</f>
        <v>1.6666666666666665</v>
      </c>
      <c r="BF22" s="1">
        <f t="shared" si="42"/>
        <v>0</v>
      </c>
    </row>
    <row r="23" spans="1:58" s="1" customFormat="1" ht="15" x14ac:dyDescent="0.3">
      <c r="A23" s="218">
        <f t="shared" si="0"/>
        <v>38</v>
      </c>
      <c r="B23" s="47">
        <f t="shared" si="38"/>
        <v>42262</v>
      </c>
      <c r="C23" s="219">
        <f t="shared" si="1"/>
        <v>1</v>
      </c>
      <c r="D23" s="220" t="str">
        <f t="shared" si="2"/>
        <v/>
      </c>
      <c r="E23" s="298" t="str">
        <f t="shared" si="3"/>
        <v/>
      </c>
      <c r="F23" s="87">
        <f t="shared" si="4"/>
        <v>42262</v>
      </c>
      <c r="G23" s="147"/>
      <c r="H23" s="74"/>
      <c r="I23" s="75"/>
      <c r="J23" s="221">
        <f t="shared" si="5"/>
        <v>0</v>
      </c>
      <c r="K23" s="76"/>
      <c r="L23" s="221">
        <f t="shared" si="43"/>
        <v>0</v>
      </c>
      <c r="M23" s="74"/>
      <c r="N23" s="75"/>
      <c r="O23" s="221">
        <f t="shared" si="6"/>
        <v>0</v>
      </c>
      <c r="P23" s="76"/>
      <c r="Q23" s="221">
        <f t="shared" si="44"/>
        <v>0</v>
      </c>
      <c r="R23" s="221">
        <f t="shared" si="45"/>
        <v>0</v>
      </c>
      <c r="S23" s="221">
        <f t="shared" si="7"/>
        <v>0</v>
      </c>
      <c r="T23" s="79">
        <f t="shared" si="8"/>
        <v>0</v>
      </c>
      <c r="U23" s="79">
        <f t="shared" si="39"/>
        <v>0</v>
      </c>
      <c r="V23" s="80">
        <f t="shared" ca="1" si="9"/>
        <v>0.33333333329999998</v>
      </c>
      <c r="W23" s="249" t="str">
        <f t="shared" ca="1" si="10"/>
        <v/>
      </c>
      <c r="X23" s="293"/>
      <c r="Y23" s="221">
        <f t="shared" si="11"/>
        <v>0</v>
      </c>
      <c r="Z23" s="299">
        <f ca="1">IF(B23="","",INDIRECT(ADDRESS(MATCH(B23,Soll_AZ,1)+MATCH("Arbeitszeit 1 ab",Voreinstellung_Übersicht!B:B,0)-1,WEEKDAY(B23,2)+4,,,"Voreinstellung_Übersicht"),TRUE))</f>
        <v>0.33333333333333331</v>
      </c>
      <c r="AA23" s="300">
        <f t="shared" ca="1" si="40"/>
        <v>0</v>
      </c>
      <c r="AB23" s="219">
        <f t="shared" si="12"/>
        <v>0</v>
      </c>
      <c r="AC23" s="219">
        <f t="shared" si="13"/>
        <v>0</v>
      </c>
      <c r="AD23" s="219">
        <f t="shared" si="14"/>
        <v>0</v>
      </c>
      <c r="AE23" s="219">
        <f t="shared" si="15"/>
        <v>0</v>
      </c>
      <c r="AF23" s="219">
        <f t="shared" si="16"/>
        <v>0</v>
      </c>
      <c r="AG23" s="219">
        <f t="shared" si="17"/>
        <v>0</v>
      </c>
      <c r="AH23" s="219">
        <f t="shared" si="18"/>
        <v>0</v>
      </c>
      <c r="AI23" s="219">
        <f t="shared" si="19"/>
        <v>0</v>
      </c>
      <c r="AJ23" s="219">
        <f t="shared" si="20"/>
        <v>0</v>
      </c>
      <c r="AK23" s="219">
        <f t="shared" si="21"/>
        <v>0</v>
      </c>
      <c r="AL23" s="219">
        <f t="shared" si="22"/>
        <v>0</v>
      </c>
      <c r="AM23" s="219">
        <f t="shared" si="23"/>
        <v>0</v>
      </c>
      <c r="AN23" s="301">
        <f t="shared" si="24"/>
        <v>0</v>
      </c>
      <c r="AO23" s="301">
        <f t="shared" si="25"/>
        <v>0</v>
      </c>
      <c r="AP23" s="301">
        <f t="shared" si="26"/>
        <v>0</v>
      </c>
      <c r="AQ23" s="301">
        <f t="shared" si="27"/>
        <v>0</v>
      </c>
      <c r="AR23" s="301">
        <f t="shared" si="28"/>
        <v>0</v>
      </c>
      <c r="AS23" s="301">
        <f t="shared" si="29"/>
        <v>0</v>
      </c>
      <c r="AT23" s="302">
        <f t="shared" si="30"/>
        <v>0</v>
      </c>
      <c r="AU23" s="302">
        <f t="shared" si="31"/>
        <v>0</v>
      </c>
      <c r="AV23" s="81">
        <f t="shared" si="32"/>
        <v>0</v>
      </c>
      <c r="AW23" s="82">
        <f t="shared" si="33"/>
        <v>0</v>
      </c>
      <c r="AX23" s="81">
        <f t="shared" si="34"/>
        <v>0</v>
      </c>
      <c r="AY23" s="83">
        <f t="shared" si="35"/>
        <v>0</v>
      </c>
      <c r="AZ23" s="83">
        <f t="shared" si="36"/>
        <v>0</v>
      </c>
      <c r="BA23" s="82">
        <f>IF(OR(B23=Feiertage!$A$16,B23=Feiertage!$A$19),U23*Zuschläge_24_31/100,IF(AZ23&gt;0,AZ23*Feiertag_mit/100,IF(AX23&gt;0,AX23*Zuschläge_Sa/100,IF(AY23&gt;0,AY23*Zuschlag_So/100,0))))</f>
        <v>0</v>
      </c>
      <c r="BB23" s="82">
        <f>IF(AND(B23&lt;&gt;0,G23=Voreinstellung_Übersicht!$D$41),IF(EG=1,W23*Über_klein/100,IF(EG=2,W23*Über_groß/100,"Fehler")),0)</f>
        <v>0</v>
      </c>
      <c r="BC23" s="299">
        <f t="shared" ca="1" si="41"/>
        <v>0</v>
      </c>
      <c r="BD23" s="219">
        <f t="shared" ca="1" si="37"/>
        <v>1</v>
      </c>
      <c r="BE23" s="303">
        <f ca="1">IF(B23="","",INDIRECT(ADDRESS(MATCH(B23,Soll_AZ,1)+MATCH("Arbeitszeit 1 ab",Voreinstellung_Übersicht!B:B,0)-1,4,,,"Voreinstellung_Übersicht"),TRUE))</f>
        <v>1.6666666666666665</v>
      </c>
      <c r="BF23" s="1">
        <f t="shared" si="42"/>
        <v>0</v>
      </c>
    </row>
    <row r="24" spans="1:58" s="1" customFormat="1" ht="15" x14ac:dyDescent="0.3">
      <c r="A24" s="218">
        <f t="shared" si="0"/>
        <v>38</v>
      </c>
      <c r="B24" s="47">
        <f t="shared" si="38"/>
        <v>42263</v>
      </c>
      <c r="C24" s="219">
        <f t="shared" si="1"/>
        <v>1</v>
      </c>
      <c r="D24" s="220" t="str">
        <f t="shared" si="2"/>
        <v/>
      </c>
      <c r="E24" s="298" t="str">
        <f t="shared" si="3"/>
        <v/>
      </c>
      <c r="F24" s="87">
        <f t="shared" si="4"/>
        <v>42263</v>
      </c>
      <c r="G24" s="147"/>
      <c r="H24" s="74"/>
      <c r="I24" s="75"/>
      <c r="J24" s="221">
        <f t="shared" si="5"/>
        <v>0</v>
      </c>
      <c r="K24" s="76"/>
      <c r="L24" s="221">
        <f t="shared" si="43"/>
        <v>0</v>
      </c>
      <c r="M24" s="74"/>
      <c r="N24" s="75"/>
      <c r="O24" s="221">
        <f t="shared" si="6"/>
        <v>0</v>
      </c>
      <c r="P24" s="76"/>
      <c r="Q24" s="221">
        <f t="shared" si="44"/>
        <v>0</v>
      </c>
      <c r="R24" s="221">
        <f t="shared" si="45"/>
        <v>0</v>
      </c>
      <c r="S24" s="221">
        <f t="shared" si="7"/>
        <v>0</v>
      </c>
      <c r="T24" s="79">
        <f t="shared" si="8"/>
        <v>0</v>
      </c>
      <c r="U24" s="79">
        <f t="shared" si="39"/>
        <v>0</v>
      </c>
      <c r="V24" s="80">
        <f t="shared" ca="1" si="9"/>
        <v>0.33333333329999998</v>
      </c>
      <c r="W24" s="249" t="str">
        <f t="shared" ca="1" si="10"/>
        <v/>
      </c>
      <c r="X24" s="293"/>
      <c r="Y24" s="221">
        <f t="shared" si="11"/>
        <v>0</v>
      </c>
      <c r="Z24" s="299">
        <f ca="1">IF(B24="","",INDIRECT(ADDRESS(MATCH(B24,Soll_AZ,1)+MATCH("Arbeitszeit 1 ab",Voreinstellung_Übersicht!B:B,0)-1,WEEKDAY(B24,2)+4,,,"Voreinstellung_Übersicht"),TRUE))</f>
        <v>0.33333333333333331</v>
      </c>
      <c r="AA24" s="300">
        <f t="shared" ca="1" si="40"/>
        <v>0</v>
      </c>
      <c r="AB24" s="219">
        <f t="shared" si="12"/>
        <v>0</v>
      </c>
      <c r="AC24" s="219">
        <f t="shared" si="13"/>
        <v>0</v>
      </c>
      <c r="AD24" s="219">
        <f t="shared" si="14"/>
        <v>0</v>
      </c>
      <c r="AE24" s="219">
        <f t="shared" si="15"/>
        <v>0</v>
      </c>
      <c r="AF24" s="219">
        <f t="shared" si="16"/>
        <v>0</v>
      </c>
      <c r="AG24" s="219">
        <f t="shared" si="17"/>
        <v>0</v>
      </c>
      <c r="AH24" s="219">
        <f t="shared" si="18"/>
        <v>0</v>
      </c>
      <c r="AI24" s="219">
        <f t="shared" si="19"/>
        <v>0</v>
      </c>
      <c r="AJ24" s="219">
        <f t="shared" si="20"/>
        <v>0</v>
      </c>
      <c r="AK24" s="219">
        <f t="shared" si="21"/>
        <v>0</v>
      </c>
      <c r="AL24" s="219">
        <f t="shared" si="22"/>
        <v>0</v>
      </c>
      <c r="AM24" s="219">
        <f t="shared" si="23"/>
        <v>0</v>
      </c>
      <c r="AN24" s="301">
        <f t="shared" si="24"/>
        <v>0</v>
      </c>
      <c r="AO24" s="301">
        <f t="shared" si="25"/>
        <v>0</v>
      </c>
      <c r="AP24" s="301">
        <f t="shared" si="26"/>
        <v>0</v>
      </c>
      <c r="AQ24" s="301">
        <f t="shared" si="27"/>
        <v>0</v>
      </c>
      <c r="AR24" s="301">
        <f t="shared" si="28"/>
        <v>0</v>
      </c>
      <c r="AS24" s="301">
        <f t="shared" si="29"/>
        <v>0</v>
      </c>
      <c r="AT24" s="302">
        <f t="shared" si="30"/>
        <v>0</v>
      </c>
      <c r="AU24" s="302">
        <f t="shared" si="31"/>
        <v>0</v>
      </c>
      <c r="AV24" s="81">
        <f t="shared" si="32"/>
        <v>0</v>
      </c>
      <c r="AW24" s="82">
        <f t="shared" si="33"/>
        <v>0</v>
      </c>
      <c r="AX24" s="81">
        <f t="shared" si="34"/>
        <v>0</v>
      </c>
      <c r="AY24" s="83">
        <f t="shared" si="35"/>
        <v>0</v>
      </c>
      <c r="AZ24" s="83">
        <f t="shared" si="36"/>
        <v>0</v>
      </c>
      <c r="BA24" s="82">
        <f>IF(OR(B24=Feiertage!$A$16,B24=Feiertage!$A$19),U24*Zuschläge_24_31/100,IF(AZ24&gt;0,AZ24*Feiertag_mit/100,IF(AX24&gt;0,AX24*Zuschläge_Sa/100,IF(AY24&gt;0,AY24*Zuschlag_So/100,0))))</f>
        <v>0</v>
      </c>
      <c r="BB24" s="82">
        <f>IF(AND(B24&lt;&gt;0,G24=Voreinstellung_Übersicht!$D$41),IF(EG=1,W24*Über_klein/100,IF(EG=2,W24*Über_groß/100,"Fehler")),0)</f>
        <v>0</v>
      </c>
      <c r="BC24" s="299">
        <f t="shared" ca="1" si="41"/>
        <v>0</v>
      </c>
      <c r="BD24" s="219">
        <f t="shared" ca="1" si="37"/>
        <v>1</v>
      </c>
      <c r="BE24" s="303">
        <f ca="1">IF(B24="","",INDIRECT(ADDRESS(MATCH(B24,Soll_AZ,1)+MATCH("Arbeitszeit 1 ab",Voreinstellung_Übersicht!B:B,0)-1,4,,,"Voreinstellung_Übersicht"),TRUE))</f>
        <v>1.6666666666666665</v>
      </c>
      <c r="BF24" s="1">
        <f t="shared" si="42"/>
        <v>0</v>
      </c>
    </row>
    <row r="25" spans="1:58" s="1" customFormat="1" ht="15" x14ac:dyDescent="0.3">
      <c r="A25" s="218">
        <f t="shared" si="0"/>
        <v>38</v>
      </c>
      <c r="B25" s="47">
        <f t="shared" si="38"/>
        <v>42264</v>
      </c>
      <c r="C25" s="219">
        <f t="shared" si="1"/>
        <v>1</v>
      </c>
      <c r="D25" s="220" t="str">
        <f t="shared" si="2"/>
        <v/>
      </c>
      <c r="E25" s="298" t="str">
        <f t="shared" si="3"/>
        <v/>
      </c>
      <c r="F25" s="87">
        <f t="shared" si="4"/>
        <v>42264</v>
      </c>
      <c r="G25" s="147"/>
      <c r="H25" s="74"/>
      <c r="I25" s="75"/>
      <c r="J25" s="221">
        <f t="shared" si="5"/>
        <v>0</v>
      </c>
      <c r="K25" s="76"/>
      <c r="L25" s="221">
        <f t="shared" si="43"/>
        <v>0</v>
      </c>
      <c r="M25" s="74"/>
      <c r="N25" s="75"/>
      <c r="O25" s="221">
        <f t="shared" si="6"/>
        <v>0</v>
      </c>
      <c r="P25" s="76"/>
      <c r="Q25" s="221">
        <f t="shared" si="44"/>
        <v>0</v>
      </c>
      <c r="R25" s="221">
        <f t="shared" si="45"/>
        <v>0</v>
      </c>
      <c r="S25" s="221">
        <f t="shared" si="7"/>
        <v>0</v>
      </c>
      <c r="T25" s="79">
        <f t="shared" si="8"/>
        <v>0</v>
      </c>
      <c r="U25" s="79">
        <f t="shared" si="39"/>
        <v>0</v>
      </c>
      <c r="V25" s="80">
        <f t="shared" ca="1" si="9"/>
        <v>0.33333333329999998</v>
      </c>
      <c r="W25" s="249" t="str">
        <f t="shared" ca="1" si="10"/>
        <v/>
      </c>
      <c r="X25" s="293"/>
      <c r="Y25" s="221">
        <f t="shared" si="11"/>
        <v>0</v>
      </c>
      <c r="Z25" s="299">
        <f ca="1">IF(B25="","",INDIRECT(ADDRESS(MATCH(B25,Soll_AZ,1)+MATCH("Arbeitszeit 1 ab",Voreinstellung_Übersicht!B:B,0)-1,WEEKDAY(B25,2)+4,,,"Voreinstellung_Übersicht"),TRUE))</f>
        <v>0.33333333333333331</v>
      </c>
      <c r="AA25" s="300">
        <f t="shared" ca="1" si="40"/>
        <v>0</v>
      </c>
      <c r="AB25" s="219">
        <f t="shared" si="12"/>
        <v>0</v>
      </c>
      <c r="AC25" s="219">
        <f t="shared" si="13"/>
        <v>0</v>
      </c>
      <c r="AD25" s="219">
        <f t="shared" si="14"/>
        <v>0</v>
      </c>
      <c r="AE25" s="219">
        <f t="shared" si="15"/>
        <v>0</v>
      </c>
      <c r="AF25" s="219">
        <f t="shared" si="16"/>
        <v>0</v>
      </c>
      <c r="AG25" s="219">
        <f t="shared" si="17"/>
        <v>0</v>
      </c>
      <c r="AH25" s="219">
        <f t="shared" si="18"/>
        <v>0</v>
      </c>
      <c r="AI25" s="219">
        <f t="shared" si="19"/>
        <v>0</v>
      </c>
      <c r="AJ25" s="219">
        <f t="shared" si="20"/>
        <v>0</v>
      </c>
      <c r="AK25" s="219">
        <f t="shared" si="21"/>
        <v>0</v>
      </c>
      <c r="AL25" s="219">
        <f t="shared" si="22"/>
        <v>0</v>
      </c>
      <c r="AM25" s="219">
        <f t="shared" si="23"/>
        <v>0</v>
      </c>
      <c r="AN25" s="301">
        <f t="shared" si="24"/>
        <v>0</v>
      </c>
      <c r="AO25" s="301">
        <f t="shared" si="25"/>
        <v>0</v>
      </c>
      <c r="AP25" s="301">
        <f t="shared" si="26"/>
        <v>0</v>
      </c>
      <c r="AQ25" s="301">
        <f t="shared" si="27"/>
        <v>0</v>
      </c>
      <c r="AR25" s="301">
        <f t="shared" si="28"/>
        <v>0</v>
      </c>
      <c r="AS25" s="301">
        <f t="shared" si="29"/>
        <v>0</v>
      </c>
      <c r="AT25" s="302">
        <f t="shared" si="30"/>
        <v>0</v>
      </c>
      <c r="AU25" s="302">
        <f t="shared" si="31"/>
        <v>0</v>
      </c>
      <c r="AV25" s="81">
        <f t="shared" si="32"/>
        <v>0</v>
      </c>
      <c r="AW25" s="82">
        <f t="shared" si="33"/>
        <v>0</v>
      </c>
      <c r="AX25" s="81">
        <f t="shared" si="34"/>
        <v>0</v>
      </c>
      <c r="AY25" s="83">
        <f t="shared" si="35"/>
        <v>0</v>
      </c>
      <c r="AZ25" s="83">
        <f t="shared" si="36"/>
        <v>0</v>
      </c>
      <c r="BA25" s="82">
        <f>IF(OR(B25=Feiertage!$A$16,B25=Feiertage!$A$19),U25*Zuschläge_24_31/100,IF(AZ25&gt;0,AZ25*Feiertag_mit/100,IF(AX25&gt;0,AX25*Zuschläge_Sa/100,IF(AY25&gt;0,AY25*Zuschlag_So/100,0))))</f>
        <v>0</v>
      </c>
      <c r="BB25" s="82">
        <f>IF(AND(B25&lt;&gt;0,G25=Voreinstellung_Übersicht!$D$41),IF(EG=1,W25*Über_klein/100,IF(EG=2,W25*Über_groß/100,"Fehler")),0)</f>
        <v>0</v>
      </c>
      <c r="BC25" s="299">
        <f t="shared" ca="1" si="41"/>
        <v>0</v>
      </c>
      <c r="BD25" s="219">
        <f t="shared" ca="1" si="37"/>
        <v>1</v>
      </c>
      <c r="BE25" s="303">
        <f ca="1">IF(B25="","",INDIRECT(ADDRESS(MATCH(B25,Soll_AZ,1)+MATCH("Arbeitszeit 1 ab",Voreinstellung_Übersicht!B:B,0)-1,4,,,"Voreinstellung_Übersicht"),TRUE))</f>
        <v>1.6666666666666665</v>
      </c>
      <c r="BF25" s="1">
        <f t="shared" si="42"/>
        <v>0</v>
      </c>
    </row>
    <row r="26" spans="1:58" s="1" customFormat="1" ht="15" x14ac:dyDescent="0.3">
      <c r="A26" s="218">
        <f t="shared" si="0"/>
        <v>38</v>
      </c>
      <c r="B26" s="47">
        <f t="shared" si="38"/>
        <v>42265</v>
      </c>
      <c r="C26" s="219">
        <f t="shared" si="1"/>
        <v>1</v>
      </c>
      <c r="D26" s="220" t="str">
        <f t="shared" si="2"/>
        <v/>
      </c>
      <c r="E26" s="298" t="str">
        <f t="shared" si="3"/>
        <v/>
      </c>
      <c r="F26" s="87">
        <f t="shared" si="4"/>
        <v>42265</v>
      </c>
      <c r="G26" s="147"/>
      <c r="H26" s="74"/>
      <c r="I26" s="75"/>
      <c r="J26" s="221">
        <f t="shared" si="5"/>
        <v>0</v>
      </c>
      <c r="K26" s="76"/>
      <c r="L26" s="221">
        <f t="shared" si="43"/>
        <v>0</v>
      </c>
      <c r="M26" s="74"/>
      <c r="N26" s="75"/>
      <c r="O26" s="221">
        <f t="shared" si="6"/>
        <v>0</v>
      </c>
      <c r="P26" s="76"/>
      <c r="Q26" s="221">
        <f t="shared" si="44"/>
        <v>0</v>
      </c>
      <c r="R26" s="221">
        <f t="shared" si="45"/>
        <v>0</v>
      </c>
      <c r="S26" s="221">
        <f t="shared" si="7"/>
        <v>0</v>
      </c>
      <c r="T26" s="79">
        <f t="shared" si="8"/>
        <v>0</v>
      </c>
      <c r="U26" s="79">
        <f t="shared" si="39"/>
        <v>0</v>
      </c>
      <c r="V26" s="80">
        <f t="shared" ca="1" si="9"/>
        <v>0.33333333329999998</v>
      </c>
      <c r="W26" s="249" t="str">
        <f t="shared" ca="1" si="10"/>
        <v/>
      </c>
      <c r="X26" s="293"/>
      <c r="Y26" s="221">
        <f t="shared" si="11"/>
        <v>0</v>
      </c>
      <c r="Z26" s="299">
        <f ca="1">IF(B26="","",INDIRECT(ADDRESS(MATCH(B26,Soll_AZ,1)+MATCH("Arbeitszeit 1 ab",Voreinstellung_Übersicht!B:B,0)-1,WEEKDAY(B26,2)+4,,,"Voreinstellung_Übersicht"),TRUE))</f>
        <v>0.33333333333333331</v>
      </c>
      <c r="AA26" s="300">
        <f t="shared" ca="1" si="40"/>
        <v>0</v>
      </c>
      <c r="AB26" s="219">
        <f t="shared" si="12"/>
        <v>0</v>
      </c>
      <c r="AC26" s="219">
        <f t="shared" si="13"/>
        <v>0</v>
      </c>
      <c r="AD26" s="219">
        <f t="shared" si="14"/>
        <v>0</v>
      </c>
      <c r="AE26" s="219">
        <f t="shared" si="15"/>
        <v>0</v>
      </c>
      <c r="AF26" s="219">
        <f t="shared" si="16"/>
        <v>0</v>
      </c>
      <c r="AG26" s="219">
        <f t="shared" si="17"/>
        <v>0</v>
      </c>
      <c r="AH26" s="219">
        <f t="shared" si="18"/>
        <v>0</v>
      </c>
      <c r="AI26" s="219">
        <f t="shared" si="19"/>
        <v>0</v>
      </c>
      <c r="AJ26" s="219">
        <f t="shared" si="20"/>
        <v>0</v>
      </c>
      <c r="AK26" s="219">
        <f t="shared" si="21"/>
        <v>0</v>
      </c>
      <c r="AL26" s="219">
        <f t="shared" si="22"/>
        <v>0</v>
      </c>
      <c r="AM26" s="219">
        <f t="shared" si="23"/>
        <v>0</v>
      </c>
      <c r="AN26" s="301">
        <f t="shared" si="24"/>
        <v>0</v>
      </c>
      <c r="AO26" s="301">
        <f t="shared" si="25"/>
        <v>0</v>
      </c>
      <c r="AP26" s="301">
        <f t="shared" si="26"/>
        <v>0</v>
      </c>
      <c r="AQ26" s="301">
        <f t="shared" si="27"/>
        <v>0</v>
      </c>
      <c r="AR26" s="301">
        <f t="shared" si="28"/>
        <v>0</v>
      </c>
      <c r="AS26" s="301">
        <f t="shared" si="29"/>
        <v>0</v>
      </c>
      <c r="AT26" s="302">
        <f t="shared" si="30"/>
        <v>0</v>
      </c>
      <c r="AU26" s="302">
        <f t="shared" si="31"/>
        <v>0</v>
      </c>
      <c r="AV26" s="81">
        <f t="shared" si="32"/>
        <v>0</v>
      </c>
      <c r="AW26" s="82">
        <f t="shared" si="33"/>
        <v>0</v>
      </c>
      <c r="AX26" s="81">
        <f t="shared" si="34"/>
        <v>0</v>
      </c>
      <c r="AY26" s="83">
        <f t="shared" si="35"/>
        <v>0</v>
      </c>
      <c r="AZ26" s="83">
        <f t="shared" si="36"/>
        <v>0</v>
      </c>
      <c r="BA26" s="82">
        <f>IF(OR(B26=Feiertage!$A$16,B26=Feiertage!$A$19),U26*Zuschläge_24_31/100,IF(AZ26&gt;0,AZ26*Feiertag_mit/100,IF(AX26&gt;0,AX26*Zuschläge_Sa/100,IF(AY26&gt;0,AY26*Zuschlag_So/100,0))))</f>
        <v>0</v>
      </c>
      <c r="BB26" s="82">
        <f>IF(AND(B26&lt;&gt;0,G26=Voreinstellung_Übersicht!$D$41),IF(EG=1,W26*Über_klein/100,IF(EG=2,W26*Über_groß/100,"Fehler")),0)</f>
        <v>0</v>
      </c>
      <c r="BC26" s="299">
        <f t="shared" ca="1" si="41"/>
        <v>0</v>
      </c>
      <c r="BD26" s="219">
        <f t="shared" ca="1" si="37"/>
        <v>1</v>
      </c>
      <c r="BE26" s="303">
        <f ca="1">IF(B26="","",INDIRECT(ADDRESS(MATCH(B26,Soll_AZ,1)+MATCH("Arbeitszeit 1 ab",Voreinstellung_Übersicht!B:B,0)-1,4,,,"Voreinstellung_Übersicht"),TRUE))</f>
        <v>1.6666666666666665</v>
      </c>
      <c r="BF26" s="1">
        <f t="shared" si="42"/>
        <v>0</v>
      </c>
    </row>
    <row r="27" spans="1:58" s="1" customFormat="1" ht="15" x14ac:dyDescent="0.3">
      <c r="A27" s="218">
        <f t="shared" si="0"/>
        <v>38</v>
      </c>
      <c r="B27" s="47">
        <f t="shared" si="38"/>
        <v>42266</v>
      </c>
      <c r="C27" s="219">
        <f t="shared" si="1"/>
        <v>1</v>
      </c>
      <c r="D27" s="220" t="str">
        <f t="shared" si="2"/>
        <v/>
      </c>
      <c r="E27" s="298" t="str">
        <f t="shared" si="3"/>
        <v/>
      </c>
      <c r="F27" s="87">
        <f t="shared" si="4"/>
        <v>42266</v>
      </c>
      <c r="G27" s="147"/>
      <c r="H27" s="74"/>
      <c r="I27" s="75"/>
      <c r="J27" s="221">
        <f t="shared" si="5"/>
        <v>0</v>
      </c>
      <c r="K27" s="76"/>
      <c r="L27" s="221">
        <f t="shared" si="43"/>
        <v>0</v>
      </c>
      <c r="M27" s="74"/>
      <c r="N27" s="75"/>
      <c r="O27" s="221">
        <f t="shared" si="6"/>
        <v>0</v>
      </c>
      <c r="P27" s="76"/>
      <c r="Q27" s="221">
        <f t="shared" si="44"/>
        <v>0</v>
      </c>
      <c r="R27" s="221">
        <f t="shared" si="45"/>
        <v>0</v>
      </c>
      <c r="S27" s="221">
        <f t="shared" si="7"/>
        <v>0</v>
      </c>
      <c r="T27" s="79">
        <f t="shared" si="8"/>
        <v>0</v>
      </c>
      <c r="U27" s="79">
        <f t="shared" si="39"/>
        <v>0</v>
      </c>
      <c r="V27" s="80">
        <f t="shared" ca="1" si="9"/>
        <v>0.33333333329999998</v>
      </c>
      <c r="W27" s="249" t="str">
        <f t="shared" ca="1" si="10"/>
        <v/>
      </c>
      <c r="X27" s="293"/>
      <c r="Y27" s="221">
        <f t="shared" si="11"/>
        <v>0</v>
      </c>
      <c r="Z27" s="299">
        <f ca="1">IF(B27="","",INDIRECT(ADDRESS(MATCH(B27,Soll_AZ,1)+MATCH("Arbeitszeit 1 ab",Voreinstellung_Übersicht!B:B,0)-1,WEEKDAY(B27,2)+4,,,"Voreinstellung_Übersicht"),TRUE))</f>
        <v>0.33333333333333331</v>
      </c>
      <c r="AA27" s="300">
        <f t="shared" ca="1" si="40"/>
        <v>0</v>
      </c>
      <c r="AB27" s="219">
        <f t="shared" si="12"/>
        <v>0</v>
      </c>
      <c r="AC27" s="219">
        <f t="shared" si="13"/>
        <v>0</v>
      </c>
      <c r="AD27" s="219">
        <f t="shared" si="14"/>
        <v>0</v>
      </c>
      <c r="AE27" s="219">
        <f t="shared" si="15"/>
        <v>0</v>
      </c>
      <c r="AF27" s="219">
        <f t="shared" si="16"/>
        <v>0</v>
      </c>
      <c r="AG27" s="219">
        <f t="shared" si="17"/>
        <v>0</v>
      </c>
      <c r="AH27" s="219">
        <f t="shared" si="18"/>
        <v>0</v>
      </c>
      <c r="AI27" s="219">
        <f t="shared" si="19"/>
        <v>0</v>
      </c>
      <c r="AJ27" s="219">
        <f t="shared" si="20"/>
        <v>0</v>
      </c>
      <c r="AK27" s="219">
        <f t="shared" si="21"/>
        <v>0</v>
      </c>
      <c r="AL27" s="219">
        <f t="shared" si="22"/>
        <v>0</v>
      </c>
      <c r="AM27" s="219">
        <f t="shared" si="23"/>
        <v>0</v>
      </c>
      <c r="AN27" s="301">
        <f t="shared" si="24"/>
        <v>0</v>
      </c>
      <c r="AO27" s="301">
        <f t="shared" si="25"/>
        <v>0</v>
      </c>
      <c r="AP27" s="301">
        <f t="shared" si="26"/>
        <v>0</v>
      </c>
      <c r="AQ27" s="301">
        <f t="shared" si="27"/>
        <v>0</v>
      </c>
      <c r="AR27" s="301">
        <f t="shared" si="28"/>
        <v>0</v>
      </c>
      <c r="AS27" s="301">
        <f t="shared" si="29"/>
        <v>0</v>
      </c>
      <c r="AT27" s="302">
        <f t="shared" si="30"/>
        <v>0</v>
      </c>
      <c r="AU27" s="302">
        <f t="shared" si="31"/>
        <v>0</v>
      </c>
      <c r="AV27" s="81">
        <f t="shared" si="32"/>
        <v>0</v>
      </c>
      <c r="AW27" s="82">
        <f t="shared" si="33"/>
        <v>0</v>
      </c>
      <c r="AX27" s="81">
        <f t="shared" si="34"/>
        <v>0</v>
      </c>
      <c r="AY27" s="83">
        <f t="shared" si="35"/>
        <v>0</v>
      </c>
      <c r="AZ27" s="83">
        <f t="shared" si="36"/>
        <v>0</v>
      </c>
      <c r="BA27" s="82">
        <f>IF(OR(B27=Feiertage!$A$16,B27=Feiertage!$A$19),U27*Zuschläge_24_31/100,IF(AZ27&gt;0,AZ27*Feiertag_mit/100,IF(AX27&gt;0,AX27*Zuschläge_Sa/100,IF(AY27&gt;0,AY27*Zuschlag_So/100,0))))</f>
        <v>0</v>
      </c>
      <c r="BB27" s="82">
        <f>IF(AND(B27&lt;&gt;0,G27=Voreinstellung_Übersicht!$D$41),IF(EG=1,W27*Über_klein/100,IF(EG=2,W27*Über_groß/100,"Fehler")),0)</f>
        <v>0</v>
      </c>
      <c r="BC27" s="299">
        <f t="shared" ca="1" si="41"/>
        <v>0</v>
      </c>
      <c r="BD27" s="219">
        <f t="shared" ca="1" si="37"/>
        <v>1</v>
      </c>
      <c r="BE27" s="303">
        <f ca="1">IF(B27="","",INDIRECT(ADDRESS(MATCH(B27,Soll_AZ,1)+MATCH("Arbeitszeit 1 ab",Voreinstellung_Übersicht!B:B,0)-1,4,,,"Voreinstellung_Übersicht"),TRUE))</f>
        <v>1.6666666666666665</v>
      </c>
      <c r="BF27" s="1">
        <f t="shared" si="42"/>
        <v>0</v>
      </c>
    </row>
    <row r="28" spans="1:58" s="1" customFormat="1" ht="15" x14ac:dyDescent="0.3">
      <c r="A28" s="218">
        <f t="shared" si="0"/>
        <v>38</v>
      </c>
      <c r="B28" s="47">
        <f t="shared" si="38"/>
        <v>42267</v>
      </c>
      <c r="C28" s="219">
        <f t="shared" si="1"/>
        <v>0</v>
      </c>
      <c r="D28" s="220" t="str">
        <f t="shared" si="2"/>
        <v/>
      </c>
      <c r="E28" s="298" t="str">
        <f t="shared" si="3"/>
        <v/>
      </c>
      <c r="F28" s="87">
        <f t="shared" si="4"/>
        <v>42267</v>
      </c>
      <c r="G28" s="147"/>
      <c r="H28" s="74"/>
      <c r="I28" s="75"/>
      <c r="J28" s="221">
        <f t="shared" si="5"/>
        <v>0</v>
      </c>
      <c r="K28" s="76"/>
      <c r="L28" s="221">
        <f t="shared" si="43"/>
        <v>0</v>
      </c>
      <c r="M28" s="74"/>
      <c r="N28" s="75"/>
      <c r="O28" s="221">
        <f t="shared" si="6"/>
        <v>0</v>
      </c>
      <c r="P28" s="76"/>
      <c r="Q28" s="221">
        <f t="shared" si="44"/>
        <v>0</v>
      </c>
      <c r="R28" s="221">
        <f t="shared" si="45"/>
        <v>0</v>
      </c>
      <c r="S28" s="221">
        <f t="shared" si="7"/>
        <v>0</v>
      </c>
      <c r="T28" s="79">
        <f t="shared" si="8"/>
        <v>0</v>
      </c>
      <c r="U28" s="79">
        <f t="shared" si="39"/>
        <v>0</v>
      </c>
      <c r="V28" s="80">
        <f t="shared" ca="1" si="9"/>
        <v>0</v>
      </c>
      <c r="W28" s="249" t="str">
        <f t="shared" ca="1" si="10"/>
        <v/>
      </c>
      <c r="X28" s="293"/>
      <c r="Y28" s="221">
        <f t="shared" si="11"/>
        <v>0</v>
      </c>
      <c r="Z28" s="299">
        <f ca="1">IF(B28="","",INDIRECT(ADDRESS(MATCH(B28,Soll_AZ,1)+MATCH("Arbeitszeit 1 ab",Voreinstellung_Übersicht!B:B,0)-1,WEEKDAY(B28,2)+4,,,"Voreinstellung_Übersicht"),TRUE))</f>
        <v>0</v>
      </c>
      <c r="AA28" s="300">
        <f t="shared" ca="1" si="40"/>
        <v>0</v>
      </c>
      <c r="AB28" s="219">
        <f t="shared" si="12"/>
        <v>0</v>
      </c>
      <c r="AC28" s="219">
        <f t="shared" si="13"/>
        <v>0</v>
      </c>
      <c r="AD28" s="219">
        <f t="shared" si="14"/>
        <v>0</v>
      </c>
      <c r="AE28" s="219">
        <f t="shared" si="15"/>
        <v>0</v>
      </c>
      <c r="AF28" s="219">
        <f t="shared" si="16"/>
        <v>0</v>
      </c>
      <c r="AG28" s="219">
        <f t="shared" si="17"/>
        <v>0</v>
      </c>
      <c r="AH28" s="219">
        <f t="shared" si="18"/>
        <v>0</v>
      </c>
      <c r="AI28" s="219">
        <f t="shared" si="19"/>
        <v>0</v>
      </c>
      <c r="AJ28" s="219">
        <f t="shared" si="20"/>
        <v>0</v>
      </c>
      <c r="AK28" s="219">
        <f t="shared" si="21"/>
        <v>0</v>
      </c>
      <c r="AL28" s="219">
        <f t="shared" si="22"/>
        <v>0</v>
      </c>
      <c r="AM28" s="219">
        <f t="shared" si="23"/>
        <v>0</v>
      </c>
      <c r="AN28" s="301">
        <f t="shared" si="24"/>
        <v>0</v>
      </c>
      <c r="AO28" s="301">
        <f t="shared" si="25"/>
        <v>0</v>
      </c>
      <c r="AP28" s="301">
        <f t="shared" si="26"/>
        <v>0</v>
      </c>
      <c r="AQ28" s="301">
        <f t="shared" si="27"/>
        <v>0</v>
      </c>
      <c r="AR28" s="301">
        <f t="shared" si="28"/>
        <v>0</v>
      </c>
      <c r="AS28" s="301">
        <f t="shared" si="29"/>
        <v>0</v>
      </c>
      <c r="AT28" s="302">
        <f t="shared" si="30"/>
        <v>0</v>
      </c>
      <c r="AU28" s="302">
        <f t="shared" si="31"/>
        <v>0</v>
      </c>
      <c r="AV28" s="81">
        <f t="shared" si="32"/>
        <v>0</v>
      </c>
      <c r="AW28" s="82">
        <f t="shared" si="33"/>
        <v>0</v>
      </c>
      <c r="AX28" s="81">
        <f t="shared" si="34"/>
        <v>0</v>
      </c>
      <c r="AY28" s="83">
        <f t="shared" si="35"/>
        <v>0</v>
      </c>
      <c r="AZ28" s="83">
        <f t="shared" si="36"/>
        <v>0</v>
      </c>
      <c r="BA28" s="82">
        <f>IF(OR(B28=Feiertage!$A$16,B28=Feiertage!$A$19),U28*Zuschläge_24_31/100,IF(AZ28&gt;0,AZ28*Feiertag_mit/100,IF(AX28&gt;0,AX28*Zuschläge_Sa/100,IF(AY28&gt;0,AY28*Zuschlag_So/100,0))))</f>
        <v>0</v>
      </c>
      <c r="BB28" s="82">
        <f>IF(AND(B28&lt;&gt;0,G28=Voreinstellung_Übersicht!$D$41),IF(EG=1,W28*Über_klein/100,IF(EG=2,W28*Über_groß/100,"Fehler")),0)</f>
        <v>0</v>
      </c>
      <c r="BC28" s="299">
        <f t="shared" ca="1" si="41"/>
        <v>0</v>
      </c>
      <c r="BD28" s="219">
        <f t="shared" ca="1" si="37"/>
        <v>1</v>
      </c>
      <c r="BE28" s="303">
        <f ca="1">IF(B28="","",INDIRECT(ADDRESS(MATCH(B28,Soll_AZ,1)+MATCH("Arbeitszeit 1 ab",Voreinstellung_Übersicht!B:B,0)-1,4,,,"Voreinstellung_Übersicht"),TRUE))</f>
        <v>1.6666666666666665</v>
      </c>
      <c r="BF28" s="1">
        <f t="shared" si="42"/>
        <v>0</v>
      </c>
    </row>
    <row r="29" spans="1:58" s="1" customFormat="1" ht="15" x14ac:dyDescent="0.3">
      <c r="A29" s="218">
        <f t="shared" si="0"/>
        <v>39</v>
      </c>
      <c r="B29" s="47">
        <f t="shared" si="38"/>
        <v>42268</v>
      </c>
      <c r="C29" s="219">
        <f t="shared" si="1"/>
        <v>0</v>
      </c>
      <c r="D29" s="220" t="str">
        <f t="shared" si="2"/>
        <v/>
      </c>
      <c r="E29" s="298" t="str">
        <f t="shared" si="3"/>
        <v/>
      </c>
      <c r="F29" s="87">
        <f t="shared" si="4"/>
        <v>42268</v>
      </c>
      <c r="G29" s="147"/>
      <c r="H29" s="74"/>
      <c r="I29" s="75"/>
      <c r="J29" s="221">
        <f t="shared" si="5"/>
        <v>0</v>
      </c>
      <c r="K29" s="76"/>
      <c r="L29" s="221">
        <f t="shared" si="43"/>
        <v>0</v>
      </c>
      <c r="M29" s="74"/>
      <c r="N29" s="75"/>
      <c r="O29" s="221">
        <f t="shared" si="6"/>
        <v>0</v>
      </c>
      <c r="P29" s="76"/>
      <c r="Q29" s="221">
        <f t="shared" si="44"/>
        <v>0</v>
      </c>
      <c r="R29" s="221">
        <f t="shared" si="45"/>
        <v>0</v>
      </c>
      <c r="S29" s="221">
        <f t="shared" si="7"/>
        <v>0</v>
      </c>
      <c r="T29" s="79">
        <f t="shared" si="8"/>
        <v>0</v>
      </c>
      <c r="U29" s="79">
        <f t="shared" si="39"/>
        <v>0</v>
      </c>
      <c r="V29" s="80">
        <f t="shared" ca="1" si="9"/>
        <v>0</v>
      </c>
      <c r="W29" s="249" t="str">
        <f t="shared" ca="1" si="10"/>
        <v/>
      </c>
      <c r="X29" s="293"/>
      <c r="Y29" s="221">
        <f t="shared" si="11"/>
        <v>0</v>
      </c>
      <c r="Z29" s="299">
        <f ca="1">IF(B29="","",INDIRECT(ADDRESS(MATCH(B29,Soll_AZ,1)+MATCH("Arbeitszeit 1 ab",Voreinstellung_Übersicht!B:B,0)-1,WEEKDAY(B29,2)+4,,,"Voreinstellung_Übersicht"),TRUE))</f>
        <v>0</v>
      </c>
      <c r="AA29" s="300">
        <f t="shared" ca="1" si="40"/>
        <v>0</v>
      </c>
      <c r="AB29" s="219">
        <f t="shared" si="12"/>
        <v>0</v>
      </c>
      <c r="AC29" s="219">
        <f t="shared" si="13"/>
        <v>0</v>
      </c>
      <c r="AD29" s="219">
        <f t="shared" si="14"/>
        <v>0</v>
      </c>
      <c r="AE29" s="219">
        <f t="shared" si="15"/>
        <v>0</v>
      </c>
      <c r="AF29" s="219">
        <f t="shared" si="16"/>
        <v>0</v>
      </c>
      <c r="AG29" s="219">
        <f t="shared" si="17"/>
        <v>0</v>
      </c>
      <c r="AH29" s="219">
        <f t="shared" si="18"/>
        <v>0</v>
      </c>
      <c r="AI29" s="219">
        <f t="shared" si="19"/>
        <v>0</v>
      </c>
      <c r="AJ29" s="219">
        <f t="shared" si="20"/>
        <v>0</v>
      </c>
      <c r="AK29" s="219">
        <f t="shared" si="21"/>
        <v>0</v>
      </c>
      <c r="AL29" s="219">
        <f t="shared" si="22"/>
        <v>0</v>
      </c>
      <c r="AM29" s="219">
        <f t="shared" si="23"/>
        <v>0</v>
      </c>
      <c r="AN29" s="301">
        <f t="shared" si="24"/>
        <v>0</v>
      </c>
      <c r="AO29" s="301">
        <f t="shared" si="25"/>
        <v>0</v>
      </c>
      <c r="AP29" s="301">
        <f t="shared" si="26"/>
        <v>0</v>
      </c>
      <c r="AQ29" s="301">
        <f t="shared" si="27"/>
        <v>0</v>
      </c>
      <c r="AR29" s="301">
        <f t="shared" si="28"/>
        <v>0</v>
      </c>
      <c r="AS29" s="301">
        <f t="shared" si="29"/>
        <v>0</v>
      </c>
      <c r="AT29" s="302">
        <f t="shared" si="30"/>
        <v>0</v>
      </c>
      <c r="AU29" s="302">
        <f t="shared" si="31"/>
        <v>0</v>
      </c>
      <c r="AV29" s="81">
        <f t="shared" si="32"/>
        <v>0</v>
      </c>
      <c r="AW29" s="82">
        <f t="shared" si="33"/>
        <v>0</v>
      </c>
      <c r="AX29" s="81">
        <f t="shared" si="34"/>
        <v>0</v>
      </c>
      <c r="AY29" s="83">
        <f t="shared" si="35"/>
        <v>0</v>
      </c>
      <c r="AZ29" s="83">
        <f t="shared" si="36"/>
        <v>0</v>
      </c>
      <c r="BA29" s="82">
        <f>IF(OR(B29=Feiertage!$A$16,B29=Feiertage!$A$19),U29*Zuschläge_24_31/100,IF(AZ29&gt;0,AZ29*Feiertag_mit/100,IF(AX29&gt;0,AX29*Zuschläge_Sa/100,IF(AY29&gt;0,AY29*Zuschlag_So/100,0))))</f>
        <v>0</v>
      </c>
      <c r="BB29" s="82">
        <f>IF(AND(B29&lt;&gt;0,G29=Voreinstellung_Übersicht!$D$41),IF(EG=1,W29*Über_klein/100,IF(EG=2,W29*Über_groß/100,"Fehler")),0)</f>
        <v>0</v>
      </c>
      <c r="BC29" s="299">
        <f t="shared" ca="1" si="41"/>
        <v>0</v>
      </c>
      <c r="BD29" s="219">
        <f t="shared" ca="1" si="37"/>
        <v>1</v>
      </c>
      <c r="BE29" s="303">
        <f ca="1">IF(B29="","",INDIRECT(ADDRESS(MATCH(B29,Soll_AZ,1)+MATCH("Arbeitszeit 1 ab",Voreinstellung_Übersicht!B:B,0)-1,4,,,"Voreinstellung_Übersicht"),TRUE))</f>
        <v>1.6666666666666665</v>
      </c>
      <c r="BF29" s="1">
        <f t="shared" si="42"/>
        <v>0</v>
      </c>
    </row>
    <row r="30" spans="1:58" s="1" customFormat="1" ht="15" x14ac:dyDescent="0.3">
      <c r="A30" s="218">
        <f t="shared" si="0"/>
        <v>39</v>
      </c>
      <c r="B30" s="47">
        <f t="shared" si="38"/>
        <v>42269</v>
      </c>
      <c r="C30" s="219">
        <f t="shared" si="1"/>
        <v>1</v>
      </c>
      <c r="D30" s="220" t="str">
        <f t="shared" si="2"/>
        <v/>
      </c>
      <c r="E30" s="298" t="str">
        <f t="shared" si="3"/>
        <v/>
      </c>
      <c r="F30" s="87">
        <f t="shared" si="4"/>
        <v>42269</v>
      </c>
      <c r="G30" s="147"/>
      <c r="H30" s="74"/>
      <c r="I30" s="75"/>
      <c r="J30" s="221">
        <f t="shared" si="5"/>
        <v>0</v>
      </c>
      <c r="K30" s="76"/>
      <c r="L30" s="221">
        <f t="shared" si="43"/>
        <v>0</v>
      </c>
      <c r="M30" s="74"/>
      <c r="N30" s="75"/>
      <c r="O30" s="221">
        <f t="shared" si="6"/>
        <v>0</v>
      </c>
      <c r="P30" s="76"/>
      <c r="Q30" s="221">
        <f t="shared" si="44"/>
        <v>0</v>
      </c>
      <c r="R30" s="221">
        <f t="shared" si="45"/>
        <v>0</v>
      </c>
      <c r="S30" s="221">
        <f t="shared" si="7"/>
        <v>0</v>
      </c>
      <c r="T30" s="79">
        <f t="shared" si="8"/>
        <v>0</v>
      </c>
      <c r="U30" s="79">
        <f t="shared" si="39"/>
        <v>0</v>
      </c>
      <c r="V30" s="80">
        <f t="shared" ca="1" si="9"/>
        <v>0.33333333329999998</v>
      </c>
      <c r="W30" s="249" t="str">
        <f t="shared" ca="1" si="10"/>
        <v/>
      </c>
      <c r="X30" s="293"/>
      <c r="Y30" s="221">
        <f t="shared" si="11"/>
        <v>0</v>
      </c>
      <c r="Z30" s="299">
        <f ca="1">IF(B30="","",INDIRECT(ADDRESS(MATCH(B30,Soll_AZ,1)+MATCH("Arbeitszeit 1 ab",Voreinstellung_Übersicht!B:B,0)-1,WEEKDAY(B30,2)+4,,,"Voreinstellung_Übersicht"),TRUE))</f>
        <v>0.33333333333333331</v>
      </c>
      <c r="AA30" s="300">
        <f t="shared" ca="1" si="40"/>
        <v>0</v>
      </c>
      <c r="AB30" s="219">
        <f t="shared" si="12"/>
        <v>0</v>
      </c>
      <c r="AC30" s="219">
        <f t="shared" si="13"/>
        <v>0</v>
      </c>
      <c r="AD30" s="219">
        <f t="shared" si="14"/>
        <v>0</v>
      </c>
      <c r="AE30" s="219">
        <f t="shared" si="15"/>
        <v>0</v>
      </c>
      <c r="AF30" s="219">
        <f t="shared" si="16"/>
        <v>0</v>
      </c>
      <c r="AG30" s="219">
        <f t="shared" si="17"/>
        <v>0</v>
      </c>
      <c r="AH30" s="219">
        <f t="shared" si="18"/>
        <v>0</v>
      </c>
      <c r="AI30" s="219">
        <f t="shared" si="19"/>
        <v>0</v>
      </c>
      <c r="AJ30" s="219">
        <f t="shared" si="20"/>
        <v>0</v>
      </c>
      <c r="AK30" s="219">
        <f t="shared" si="21"/>
        <v>0</v>
      </c>
      <c r="AL30" s="219">
        <f t="shared" si="22"/>
        <v>0</v>
      </c>
      <c r="AM30" s="219">
        <f t="shared" si="23"/>
        <v>0</v>
      </c>
      <c r="AN30" s="301">
        <f t="shared" si="24"/>
        <v>0</v>
      </c>
      <c r="AO30" s="301">
        <f t="shared" si="25"/>
        <v>0</v>
      </c>
      <c r="AP30" s="301">
        <f t="shared" si="26"/>
        <v>0</v>
      </c>
      <c r="AQ30" s="301">
        <f t="shared" si="27"/>
        <v>0</v>
      </c>
      <c r="AR30" s="301">
        <f t="shared" si="28"/>
        <v>0</v>
      </c>
      <c r="AS30" s="301">
        <f t="shared" si="29"/>
        <v>0</v>
      </c>
      <c r="AT30" s="302">
        <f t="shared" si="30"/>
        <v>0</v>
      </c>
      <c r="AU30" s="302">
        <f t="shared" si="31"/>
        <v>0</v>
      </c>
      <c r="AV30" s="81">
        <f t="shared" si="32"/>
        <v>0</v>
      </c>
      <c r="AW30" s="82">
        <f t="shared" si="33"/>
        <v>0</v>
      </c>
      <c r="AX30" s="81">
        <f t="shared" si="34"/>
        <v>0</v>
      </c>
      <c r="AY30" s="83">
        <f t="shared" si="35"/>
        <v>0</v>
      </c>
      <c r="AZ30" s="83">
        <f t="shared" si="36"/>
        <v>0</v>
      </c>
      <c r="BA30" s="82">
        <f>IF(OR(B30=Feiertage!$A$16,B30=Feiertage!$A$19),U30*Zuschläge_24_31/100,IF(AZ30&gt;0,AZ30*Feiertag_mit/100,IF(AX30&gt;0,AX30*Zuschläge_Sa/100,IF(AY30&gt;0,AY30*Zuschlag_So/100,0))))</f>
        <v>0</v>
      </c>
      <c r="BB30" s="82">
        <f>IF(AND(B30&lt;&gt;0,G30=Voreinstellung_Übersicht!$D$41),IF(EG=1,W30*Über_klein/100,IF(EG=2,W30*Über_groß/100,"Fehler")),0)</f>
        <v>0</v>
      </c>
      <c r="BC30" s="299">
        <f t="shared" ca="1" si="41"/>
        <v>0</v>
      </c>
      <c r="BD30" s="219">
        <f t="shared" ca="1" si="37"/>
        <v>1</v>
      </c>
      <c r="BE30" s="303">
        <f ca="1">IF(B30="","",INDIRECT(ADDRESS(MATCH(B30,Soll_AZ,1)+MATCH("Arbeitszeit 1 ab",Voreinstellung_Übersicht!B:B,0)-1,4,,,"Voreinstellung_Übersicht"),TRUE))</f>
        <v>1.6666666666666665</v>
      </c>
      <c r="BF30" s="1">
        <f t="shared" si="42"/>
        <v>0</v>
      </c>
    </row>
    <row r="31" spans="1:58" s="1" customFormat="1" ht="15" x14ac:dyDescent="0.3">
      <c r="A31" s="218">
        <f t="shared" si="0"/>
        <v>39</v>
      </c>
      <c r="B31" s="47">
        <f t="shared" si="38"/>
        <v>42270</v>
      </c>
      <c r="C31" s="219">
        <f t="shared" si="1"/>
        <v>1</v>
      </c>
      <c r="D31" s="220" t="str">
        <f t="shared" si="2"/>
        <v/>
      </c>
      <c r="E31" s="298" t="str">
        <f t="shared" si="3"/>
        <v/>
      </c>
      <c r="F31" s="87">
        <f t="shared" si="4"/>
        <v>42270</v>
      </c>
      <c r="G31" s="147"/>
      <c r="H31" s="74"/>
      <c r="I31" s="75"/>
      <c r="J31" s="221">
        <f t="shared" si="5"/>
        <v>0</v>
      </c>
      <c r="K31" s="76"/>
      <c r="L31" s="221">
        <f t="shared" si="43"/>
        <v>0</v>
      </c>
      <c r="M31" s="74"/>
      <c r="N31" s="75"/>
      <c r="O31" s="221">
        <f t="shared" si="6"/>
        <v>0</v>
      </c>
      <c r="P31" s="76"/>
      <c r="Q31" s="221">
        <f t="shared" si="44"/>
        <v>0</v>
      </c>
      <c r="R31" s="221">
        <f t="shared" si="45"/>
        <v>0</v>
      </c>
      <c r="S31" s="221">
        <f t="shared" si="7"/>
        <v>0</v>
      </c>
      <c r="T31" s="79">
        <f t="shared" si="8"/>
        <v>0</v>
      </c>
      <c r="U31" s="79">
        <f t="shared" si="39"/>
        <v>0</v>
      </c>
      <c r="V31" s="80">
        <f t="shared" ca="1" si="9"/>
        <v>0.33333333329999998</v>
      </c>
      <c r="W31" s="249" t="str">
        <f t="shared" ca="1" si="10"/>
        <v/>
      </c>
      <c r="X31" s="293"/>
      <c r="Y31" s="221">
        <f t="shared" si="11"/>
        <v>0</v>
      </c>
      <c r="Z31" s="299">
        <f ca="1">IF(B31="","",INDIRECT(ADDRESS(MATCH(B31,Soll_AZ,1)+MATCH("Arbeitszeit 1 ab",Voreinstellung_Übersicht!B:B,0)-1,WEEKDAY(B31,2)+4,,,"Voreinstellung_Übersicht"),TRUE))</f>
        <v>0.33333333333333331</v>
      </c>
      <c r="AA31" s="300">
        <f t="shared" ca="1" si="40"/>
        <v>0</v>
      </c>
      <c r="AB31" s="219">
        <f t="shared" si="12"/>
        <v>0</v>
      </c>
      <c r="AC31" s="219">
        <f t="shared" si="13"/>
        <v>0</v>
      </c>
      <c r="AD31" s="219">
        <f t="shared" si="14"/>
        <v>0</v>
      </c>
      <c r="AE31" s="219">
        <f t="shared" si="15"/>
        <v>0</v>
      </c>
      <c r="AF31" s="219">
        <f t="shared" si="16"/>
        <v>0</v>
      </c>
      <c r="AG31" s="219">
        <f t="shared" si="17"/>
        <v>0</v>
      </c>
      <c r="AH31" s="219">
        <f t="shared" si="18"/>
        <v>0</v>
      </c>
      <c r="AI31" s="219">
        <f t="shared" si="19"/>
        <v>0</v>
      </c>
      <c r="AJ31" s="219">
        <f t="shared" si="20"/>
        <v>0</v>
      </c>
      <c r="AK31" s="219">
        <f t="shared" si="21"/>
        <v>0</v>
      </c>
      <c r="AL31" s="219">
        <f t="shared" si="22"/>
        <v>0</v>
      </c>
      <c r="AM31" s="219">
        <f t="shared" si="23"/>
        <v>0</v>
      </c>
      <c r="AN31" s="301">
        <f t="shared" si="24"/>
        <v>0</v>
      </c>
      <c r="AO31" s="301">
        <f t="shared" si="25"/>
        <v>0</v>
      </c>
      <c r="AP31" s="301">
        <f t="shared" si="26"/>
        <v>0</v>
      </c>
      <c r="AQ31" s="301">
        <f t="shared" si="27"/>
        <v>0</v>
      </c>
      <c r="AR31" s="301">
        <f t="shared" si="28"/>
        <v>0</v>
      </c>
      <c r="AS31" s="301">
        <f t="shared" si="29"/>
        <v>0</v>
      </c>
      <c r="AT31" s="302">
        <f t="shared" si="30"/>
        <v>0</v>
      </c>
      <c r="AU31" s="302">
        <f t="shared" si="31"/>
        <v>0</v>
      </c>
      <c r="AV31" s="81">
        <f t="shared" si="32"/>
        <v>0</v>
      </c>
      <c r="AW31" s="82">
        <f t="shared" si="33"/>
        <v>0</v>
      </c>
      <c r="AX31" s="81">
        <f t="shared" si="34"/>
        <v>0</v>
      </c>
      <c r="AY31" s="83">
        <f t="shared" si="35"/>
        <v>0</v>
      </c>
      <c r="AZ31" s="83">
        <f t="shared" si="36"/>
        <v>0</v>
      </c>
      <c r="BA31" s="82">
        <f>IF(OR(B31=Feiertage!$A$16,B31=Feiertage!$A$19),U31*Zuschläge_24_31/100,IF(AZ31&gt;0,AZ31*Feiertag_mit/100,IF(AX31&gt;0,AX31*Zuschläge_Sa/100,IF(AY31&gt;0,AY31*Zuschlag_So/100,0))))</f>
        <v>0</v>
      </c>
      <c r="BB31" s="82">
        <f>IF(AND(B31&lt;&gt;0,G31=Voreinstellung_Übersicht!$D$41),IF(EG=1,W31*Über_klein/100,IF(EG=2,W31*Über_groß/100,"Fehler")),0)</f>
        <v>0</v>
      </c>
      <c r="BC31" s="299">
        <f t="shared" ca="1" si="41"/>
        <v>0</v>
      </c>
      <c r="BD31" s="219">
        <f t="shared" ca="1" si="37"/>
        <v>1</v>
      </c>
      <c r="BE31" s="303">
        <f ca="1">IF(B31="","",INDIRECT(ADDRESS(MATCH(B31,Soll_AZ,1)+MATCH("Arbeitszeit 1 ab",Voreinstellung_Übersicht!B:B,0)-1,4,,,"Voreinstellung_Übersicht"),TRUE))</f>
        <v>1.6666666666666665</v>
      </c>
      <c r="BF31" s="1">
        <f t="shared" si="42"/>
        <v>0</v>
      </c>
    </row>
    <row r="32" spans="1:58" s="1" customFormat="1" ht="15" x14ac:dyDescent="0.3">
      <c r="A32" s="218">
        <f t="shared" si="0"/>
        <v>39</v>
      </c>
      <c r="B32" s="47">
        <f t="shared" si="38"/>
        <v>42271</v>
      </c>
      <c r="C32" s="219">
        <f t="shared" si="1"/>
        <v>1</v>
      </c>
      <c r="D32" s="220" t="str">
        <f t="shared" si="2"/>
        <v/>
      </c>
      <c r="E32" s="298" t="str">
        <f t="shared" si="3"/>
        <v/>
      </c>
      <c r="F32" s="87">
        <f t="shared" si="4"/>
        <v>42271</v>
      </c>
      <c r="G32" s="147"/>
      <c r="H32" s="74"/>
      <c r="I32" s="75"/>
      <c r="J32" s="221">
        <f t="shared" si="5"/>
        <v>0</v>
      </c>
      <c r="K32" s="76"/>
      <c r="L32" s="221">
        <f t="shared" si="43"/>
        <v>0</v>
      </c>
      <c r="M32" s="74"/>
      <c r="N32" s="75"/>
      <c r="O32" s="221">
        <f t="shared" si="6"/>
        <v>0</v>
      </c>
      <c r="P32" s="76"/>
      <c r="Q32" s="221">
        <f t="shared" si="44"/>
        <v>0</v>
      </c>
      <c r="R32" s="221">
        <f t="shared" si="45"/>
        <v>0</v>
      </c>
      <c r="S32" s="221">
        <f t="shared" si="7"/>
        <v>0</v>
      </c>
      <c r="T32" s="79">
        <f t="shared" si="8"/>
        <v>0</v>
      </c>
      <c r="U32" s="79">
        <f t="shared" si="39"/>
        <v>0</v>
      </c>
      <c r="V32" s="80">
        <f t="shared" ca="1" si="9"/>
        <v>0.33333333329999998</v>
      </c>
      <c r="W32" s="249" t="str">
        <f t="shared" ca="1" si="10"/>
        <v/>
      </c>
      <c r="X32" s="293"/>
      <c r="Y32" s="221">
        <f t="shared" si="11"/>
        <v>0</v>
      </c>
      <c r="Z32" s="299">
        <f ca="1">IF(B32="","",INDIRECT(ADDRESS(MATCH(B32,Soll_AZ,1)+MATCH("Arbeitszeit 1 ab",Voreinstellung_Übersicht!B:B,0)-1,WEEKDAY(B32,2)+4,,,"Voreinstellung_Übersicht"),TRUE))</f>
        <v>0.33333333333333331</v>
      </c>
      <c r="AA32" s="300">
        <f t="shared" ca="1" si="40"/>
        <v>0</v>
      </c>
      <c r="AB32" s="219">
        <f t="shared" si="12"/>
        <v>0</v>
      </c>
      <c r="AC32" s="219">
        <f t="shared" si="13"/>
        <v>0</v>
      </c>
      <c r="AD32" s="219">
        <f t="shared" si="14"/>
        <v>0</v>
      </c>
      <c r="AE32" s="219">
        <f t="shared" si="15"/>
        <v>0</v>
      </c>
      <c r="AF32" s="219">
        <f t="shared" si="16"/>
        <v>0</v>
      </c>
      <c r="AG32" s="219">
        <f t="shared" si="17"/>
        <v>0</v>
      </c>
      <c r="AH32" s="219">
        <f t="shared" si="18"/>
        <v>0</v>
      </c>
      <c r="AI32" s="219">
        <f t="shared" si="19"/>
        <v>0</v>
      </c>
      <c r="AJ32" s="219">
        <f t="shared" si="20"/>
        <v>0</v>
      </c>
      <c r="AK32" s="219">
        <f t="shared" si="21"/>
        <v>0</v>
      </c>
      <c r="AL32" s="219">
        <f t="shared" si="22"/>
        <v>0</v>
      </c>
      <c r="AM32" s="219">
        <f t="shared" si="23"/>
        <v>0</v>
      </c>
      <c r="AN32" s="301">
        <f t="shared" si="24"/>
        <v>0</v>
      </c>
      <c r="AO32" s="301">
        <f t="shared" si="25"/>
        <v>0</v>
      </c>
      <c r="AP32" s="301">
        <f t="shared" si="26"/>
        <v>0</v>
      </c>
      <c r="AQ32" s="301">
        <f t="shared" si="27"/>
        <v>0</v>
      </c>
      <c r="AR32" s="301">
        <f t="shared" si="28"/>
        <v>0</v>
      </c>
      <c r="AS32" s="301">
        <f t="shared" si="29"/>
        <v>0</v>
      </c>
      <c r="AT32" s="302">
        <f t="shared" si="30"/>
        <v>0</v>
      </c>
      <c r="AU32" s="302">
        <f t="shared" si="31"/>
        <v>0</v>
      </c>
      <c r="AV32" s="81">
        <f t="shared" si="32"/>
        <v>0</v>
      </c>
      <c r="AW32" s="82">
        <f t="shared" si="33"/>
        <v>0</v>
      </c>
      <c r="AX32" s="81">
        <f t="shared" si="34"/>
        <v>0</v>
      </c>
      <c r="AY32" s="83">
        <f t="shared" si="35"/>
        <v>0</v>
      </c>
      <c r="AZ32" s="83">
        <f t="shared" si="36"/>
        <v>0</v>
      </c>
      <c r="BA32" s="82">
        <f>IF(OR(B32=Feiertage!$A$16,B32=Feiertage!$A$19),U32*Zuschläge_24_31/100,IF(AZ32&gt;0,AZ32*Feiertag_mit/100,IF(AX32&gt;0,AX32*Zuschläge_Sa/100,IF(AY32&gt;0,AY32*Zuschlag_So/100,0))))</f>
        <v>0</v>
      </c>
      <c r="BB32" s="82">
        <f>IF(AND(B32&lt;&gt;0,G32=Voreinstellung_Übersicht!$D$41),IF(EG=1,W32*Über_klein/100,IF(EG=2,W32*Über_groß/100,"Fehler")),0)</f>
        <v>0</v>
      </c>
      <c r="BC32" s="299">
        <f t="shared" ca="1" si="41"/>
        <v>0</v>
      </c>
      <c r="BD32" s="219">
        <f t="shared" ca="1" si="37"/>
        <v>1</v>
      </c>
      <c r="BE32" s="303">
        <f ca="1">IF(B32="","",INDIRECT(ADDRESS(MATCH(B32,Soll_AZ,1)+MATCH("Arbeitszeit 1 ab",Voreinstellung_Übersicht!B:B,0)-1,4,,,"Voreinstellung_Übersicht"),TRUE))</f>
        <v>1.6666666666666665</v>
      </c>
      <c r="BF32" s="1">
        <f t="shared" si="42"/>
        <v>0</v>
      </c>
    </row>
    <row r="33" spans="1:104" s="1" customFormat="1" ht="15" x14ac:dyDescent="0.3">
      <c r="A33" s="218">
        <f t="shared" si="0"/>
        <v>39</v>
      </c>
      <c r="B33" s="47">
        <f t="shared" si="38"/>
        <v>42272</v>
      </c>
      <c r="C33" s="219">
        <f t="shared" si="1"/>
        <v>1</v>
      </c>
      <c r="D33" s="220" t="str">
        <f t="shared" si="2"/>
        <v/>
      </c>
      <c r="E33" s="298" t="str">
        <f t="shared" si="3"/>
        <v/>
      </c>
      <c r="F33" s="87">
        <f t="shared" si="4"/>
        <v>42272</v>
      </c>
      <c r="G33" s="147"/>
      <c r="H33" s="74"/>
      <c r="I33" s="75"/>
      <c r="J33" s="221">
        <f t="shared" si="5"/>
        <v>0</v>
      </c>
      <c r="K33" s="76"/>
      <c r="L33" s="221">
        <f t="shared" si="43"/>
        <v>0</v>
      </c>
      <c r="M33" s="74"/>
      <c r="N33" s="75"/>
      <c r="O33" s="221">
        <f t="shared" si="6"/>
        <v>0</v>
      </c>
      <c r="P33" s="76"/>
      <c r="Q33" s="221">
        <f t="shared" si="44"/>
        <v>0</v>
      </c>
      <c r="R33" s="221">
        <f t="shared" si="45"/>
        <v>0</v>
      </c>
      <c r="S33" s="221">
        <f t="shared" si="7"/>
        <v>0</v>
      </c>
      <c r="T33" s="79">
        <f t="shared" si="8"/>
        <v>0</v>
      </c>
      <c r="U33" s="79">
        <f t="shared" si="39"/>
        <v>0</v>
      </c>
      <c r="V33" s="80">
        <f t="shared" ca="1" si="9"/>
        <v>0.33333333329999998</v>
      </c>
      <c r="W33" s="249" t="str">
        <f t="shared" ca="1" si="10"/>
        <v/>
      </c>
      <c r="X33" s="293"/>
      <c r="Y33" s="221">
        <f t="shared" si="11"/>
        <v>0</v>
      </c>
      <c r="Z33" s="299">
        <f ca="1">IF(B33="","",INDIRECT(ADDRESS(MATCH(B33,Soll_AZ,1)+MATCH("Arbeitszeit 1 ab",Voreinstellung_Übersicht!B:B,0)-1,WEEKDAY(B33,2)+4,,,"Voreinstellung_Übersicht"),TRUE))</f>
        <v>0.33333333333333331</v>
      </c>
      <c r="AA33" s="300">
        <f t="shared" ca="1" si="40"/>
        <v>0</v>
      </c>
      <c r="AB33" s="219">
        <f t="shared" si="12"/>
        <v>0</v>
      </c>
      <c r="AC33" s="219">
        <f t="shared" si="13"/>
        <v>0</v>
      </c>
      <c r="AD33" s="219">
        <f t="shared" si="14"/>
        <v>0</v>
      </c>
      <c r="AE33" s="219">
        <f t="shared" si="15"/>
        <v>0</v>
      </c>
      <c r="AF33" s="219">
        <f t="shared" si="16"/>
        <v>0</v>
      </c>
      <c r="AG33" s="219">
        <f t="shared" si="17"/>
        <v>0</v>
      </c>
      <c r="AH33" s="219">
        <f t="shared" si="18"/>
        <v>0</v>
      </c>
      <c r="AI33" s="219">
        <f t="shared" si="19"/>
        <v>0</v>
      </c>
      <c r="AJ33" s="219">
        <f t="shared" si="20"/>
        <v>0</v>
      </c>
      <c r="AK33" s="219">
        <f t="shared" si="21"/>
        <v>0</v>
      </c>
      <c r="AL33" s="219">
        <f t="shared" si="22"/>
        <v>0</v>
      </c>
      <c r="AM33" s="219">
        <f t="shared" si="23"/>
        <v>0</v>
      </c>
      <c r="AN33" s="301">
        <f t="shared" si="24"/>
        <v>0</v>
      </c>
      <c r="AO33" s="301">
        <f t="shared" si="25"/>
        <v>0</v>
      </c>
      <c r="AP33" s="301">
        <f t="shared" si="26"/>
        <v>0</v>
      </c>
      <c r="AQ33" s="301">
        <f t="shared" si="27"/>
        <v>0</v>
      </c>
      <c r="AR33" s="301">
        <f t="shared" si="28"/>
        <v>0</v>
      </c>
      <c r="AS33" s="301">
        <f t="shared" si="29"/>
        <v>0</v>
      </c>
      <c r="AT33" s="302">
        <f t="shared" si="30"/>
        <v>0</v>
      </c>
      <c r="AU33" s="302">
        <f t="shared" si="31"/>
        <v>0</v>
      </c>
      <c r="AV33" s="81">
        <f t="shared" si="32"/>
        <v>0</v>
      </c>
      <c r="AW33" s="82">
        <f t="shared" si="33"/>
        <v>0</v>
      </c>
      <c r="AX33" s="81">
        <f t="shared" si="34"/>
        <v>0</v>
      </c>
      <c r="AY33" s="83">
        <f t="shared" si="35"/>
        <v>0</v>
      </c>
      <c r="AZ33" s="83">
        <f t="shared" si="36"/>
        <v>0</v>
      </c>
      <c r="BA33" s="82">
        <f>IF(OR(B33=Feiertage!$A$16,B33=Feiertage!$A$19),U33*Zuschläge_24_31/100,IF(AZ33&gt;0,AZ33*Feiertag_mit/100,IF(AX33&gt;0,AX33*Zuschläge_Sa/100,IF(AY33&gt;0,AY33*Zuschlag_So/100,0))))</f>
        <v>0</v>
      </c>
      <c r="BB33" s="82">
        <f>IF(AND(B33&lt;&gt;0,G33=Voreinstellung_Übersicht!$D$41),IF(EG=1,W33*Über_klein/100,IF(EG=2,W33*Über_groß/100,"Fehler")),0)</f>
        <v>0</v>
      </c>
      <c r="BC33" s="299">
        <f t="shared" ca="1" si="41"/>
        <v>0</v>
      </c>
      <c r="BD33" s="219">
        <f t="shared" ca="1" si="37"/>
        <v>1</v>
      </c>
      <c r="BE33" s="303">
        <f ca="1">IF(B33="","",INDIRECT(ADDRESS(MATCH(B33,Soll_AZ,1)+MATCH("Arbeitszeit 1 ab",Voreinstellung_Übersicht!B:B,0)-1,4,,,"Voreinstellung_Übersicht"),TRUE))</f>
        <v>1.6666666666666665</v>
      </c>
      <c r="BF33" s="1">
        <f t="shared" si="42"/>
        <v>0</v>
      </c>
    </row>
    <row r="34" spans="1:104" s="1" customFormat="1" ht="15" x14ac:dyDescent="0.3">
      <c r="A34" s="218">
        <f t="shared" si="0"/>
        <v>39</v>
      </c>
      <c r="B34" s="47">
        <f t="shared" si="38"/>
        <v>42273</v>
      </c>
      <c r="C34" s="219">
        <f t="shared" si="1"/>
        <v>1</v>
      </c>
      <c r="D34" s="220" t="str">
        <f t="shared" si="2"/>
        <v/>
      </c>
      <c r="E34" s="298" t="str">
        <f t="shared" si="3"/>
        <v/>
      </c>
      <c r="F34" s="87">
        <f t="shared" si="4"/>
        <v>42273</v>
      </c>
      <c r="G34" s="147"/>
      <c r="H34" s="74"/>
      <c r="I34" s="75"/>
      <c r="J34" s="221">
        <f t="shared" si="5"/>
        <v>0</v>
      </c>
      <c r="K34" s="76"/>
      <c r="L34" s="221">
        <f t="shared" si="43"/>
        <v>0</v>
      </c>
      <c r="M34" s="74"/>
      <c r="N34" s="75"/>
      <c r="O34" s="221">
        <f t="shared" si="6"/>
        <v>0</v>
      </c>
      <c r="P34" s="76"/>
      <c r="Q34" s="221">
        <f t="shared" si="44"/>
        <v>0</v>
      </c>
      <c r="R34" s="221">
        <f t="shared" si="45"/>
        <v>0</v>
      </c>
      <c r="S34" s="221">
        <f t="shared" si="7"/>
        <v>0</v>
      </c>
      <c r="T34" s="79">
        <f t="shared" si="8"/>
        <v>0</v>
      </c>
      <c r="U34" s="79">
        <f t="shared" si="39"/>
        <v>0</v>
      </c>
      <c r="V34" s="80">
        <f t="shared" ca="1" si="9"/>
        <v>0.33333333329999998</v>
      </c>
      <c r="W34" s="249" t="str">
        <f t="shared" ca="1" si="10"/>
        <v/>
      </c>
      <c r="X34" s="293"/>
      <c r="Y34" s="221">
        <f t="shared" si="11"/>
        <v>0</v>
      </c>
      <c r="Z34" s="299">
        <f ca="1">IF(B34="","",INDIRECT(ADDRESS(MATCH(B34,Soll_AZ,1)+MATCH("Arbeitszeit 1 ab",Voreinstellung_Übersicht!B:B,0)-1,WEEKDAY(B34,2)+4,,,"Voreinstellung_Übersicht"),TRUE))</f>
        <v>0.33333333333333331</v>
      </c>
      <c r="AA34" s="300">
        <f t="shared" ca="1" si="40"/>
        <v>0</v>
      </c>
      <c r="AB34" s="219">
        <f t="shared" si="12"/>
        <v>0</v>
      </c>
      <c r="AC34" s="219">
        <f t="shared" si="13"/>
        <v>0</v>
      </c>
      <c r="AD34" s="219">
        <f t="shared" si="14"/>
        <v>0</v>
      </c>
      <c r="AE34" s="219">
        <f t="shared" si="15"/>
        <v>0</v>
      </c>
      <c r="AF34" s="219">
        <f t="shared" si="16"/>
        <v>0</v>
      </c>
      <c r="AG34" s="219">
        <f t="shared" si="17"/>
        <v>0</v>
      </c>
      <c r="AH34" s="219">
        <f t="shared" si="18"/>
        <v>0</v>
      </c>
      <c r="AI34" s="219">
        <f t="shared" si="19"/>
        <v>0</v>
      </c>
      <c r="AJ34" s="219">
        <f t="shared" si="20"/>
        <v>0</v>
      </c>
      <c r="AK34" s="219">
        <f t="shared" si="21"/>
        <v>0</v>
      </c>
      <c r="AL34" s="219">
        <f t="shared" si="22"/>
        <v>0</v>
      </c>
      <c r="AM34" s="219">
        <f t="shared" si="23"/>
        <v>0</v>
      </c>
      <c r="AN34" s="301">
        <f t="shared" si="24"/>
        <v>0</v>
      </c>
      <c r="AO34" s="301">
        <f t="shared" si="25"/>
        <v>0</v>
      </c>
      <c r="AP34" s="301">
        <f t="shared" si="26"/>
        <v>0</v>
      </c>
      <c r="AQ34" s="301">
        <f t="shared" si="27"/>
        <v>0</v>
      </c>
      <c r="AR34" s="301">
        <f t="shared" si="28"/>
        <v>0</v>
      </c>
      <c r="AS34" s="301">
        <f t="shared" si="29"/>
        <v>0</v>
      </c>
      <c r="AT34" s="302">
        <f t="shared" si="30"/>
        <v>0</v>
      </c>
      <c r="AU34" s="302">
        <f t="shared" si="31"/>
        <v>0</v>
      </c>
      <c r="AV34" s="81">
        <f t="shared" si="32"/>
        <v>0</v>
      </c>
      <c r="AW34" s="82">
        <f t="shared" si="33"/>
        <v>0</v>
      </c>
      <c r="AX34" s="81">
        <f t="shared" si="34"/>
        <v>0</v>
      </c>
      <c r="AY34" s="83">
        <f t="shared" si="35"/>
        <v>0</v>
      </c>
      <c r="AZ34" s="83">
        <f t="shared" si="36"/>
        <v>0</v>
      </c>
      <c r="BA34" s="82">
        <f>IF(OR(B34=Feiertage!$A$16,B34=Feiertage!$A$19),U34*Zuschläge_24_31/100,IF(AZ34&gt;0,AZ34*Feiertag_mit/100,IF(AX34&gt;0,AX34*Zuschläge_Sa/100,IF(AY34&gt;0,AY34*Zuschlag_So/100,0))))</f>
        <v>0</v>
      </c>
      <c r="BB34" s="82">
        <f>IF(AND(B34&lt;&gt;0,G34=Voreinstellung_Übersicht!$D$41),IF(EG=1,W34*Über_klein/100,IF(EG=2,W34*Über_groß/100,"Fehler")),0)</f>
        <v>0</v>
      </c>
      <c r="BC34" s="299">
        <f t="shared" ca="1" si="41"/>
        <v>0</v>
      </c>
      <c r="BD34" s="219">
        <f t="shared" ca="1" si="37"/>
        <v>1</v>
      </c>
      <c r="BE34" s="303">
        <f ca="1">IF(B34="","",INDIRECT(ADDRESS(MATCH(B34,Soll_AZ,1)+MATCH("Arbeitszeit 1 ab",Voreinstellung_Übersicht!B:B,0)-1,4,,,"Voreinstellung_Übersicht"),TRUE))</f>
        <v>1.6666666666666665</v>
      </c>
      <c r="BF34" s="1">
        <f t="shared" si="42"/>
        <v>0</v>
      </c>
    </row>
    <row r="35" spans="1:104" s="1" customFormat="1" ht="15" x14ac:dyDescent="0.3">
      <c r="A35" s="218">
        <f t="shared" si="0"/>
        <v>39</v>
      </c>
      <c r="B35" s="47">
        <f t="shared" si="38"/>
        <v>42274</v>
      </c>
      <c r="C35" s="219">
        <f t="shared" si="1"/>
        <v>0</v>
      </c>
      <c r="D35" s="220" t="str">
        <f t="shared" si="2"/>
        <v/>
      </c>
      <c r="E35" s="298" t="str">
        <f t="shared" si="3"/>
        <v/>
      </c>
      <c r="F35" s="87">
        <f t="shared" si="4"/>
        <v>42274</v>
      </c>
      <c r="G35" s="147"/>
      <c r="H35" s="74"/>
      <c r="I35" s="75"/>
      <c r="J35" s="221">
        <f t="shared" si="5"/>
        <v>0</v>
      </c>
      <c r="K35" s="76"/>
      <c r="L35" s="221">
        <f t="shared" si="43"/>
        <v>0</v>
      </c>
      <c r="M35" s="74"/>
      <c r="N35" s="75"/>
      <c r="O35" s="221">
        <f t="shared" si="6"/>
        <v>0</v>
      </c>
      <c r="P35" s="76"/>
      <c r="Q35" s="221">
        <f t="shared" si="44"/>
        <v>0</v>
      </c>
      <c r="R35" s="221">
        <f t="shared" si="45"/>
        <v>0</v>
      </c>
      <c r="S35" s="221">
        <f t="shared" si="7"/>
        <v>0</v>
      </c>
      <c r="T35" s="79">
        <f t="shared" si="8"/>
        <v>0</v>
      </c>
      <c r="U35" s="79">
        <f t="shared" si="39"/>
        <v>0</v>
      </c>
      <c r="V35" s="80">
        <f t="shared" ca="1" si="9"/>
        <v>0</v>
      </c>
      <c r="W35" s="249" t="str">
        <f t="shared" ca="1" si="10"/>
        <v/>
      </c>
      <c r="X35" s="293"/>
      <c r="Y35" s="221">
        <f t="shared" si="11"/>
        <v>0</v>
      </c>
      <c r="Z35" s="299">
        <f ca="1">IF(B35="","",INDIRECT(ADDRESS(MATCH(B35,Soll_AZ,1)+MATCH("Arbeitszeit 1 ab",Voreinstellung_Übersicht!B:B,0)-1,WEEKDAY(B35,2)+4,,,"Voreinstellung_Übersicht"),TRUE))</f>
        <v>0</v>
      </c>
      <c r="AA35" s="300">
        <f t="shared" ca="1" si="40"/>
        <v>0</v>
      </c>
      <c r="AB35" s="219">
        <f t="shared" si="12"/>
        <v>0</v>
      </c>
      <c r="AC35" s="219">
        <f t="shared" si="13"/>
        <v>0</v>
      </c>
      <c r="AD35" s="219">
        <f t="shared" si="14"/>
        <v>0</v>
      </c>
      <c r="AE35" s="219">
        <f t="shared" si="15"/>
        <v>0</v>
      </c>
      <c r="AF35" s="219">
        <f t="shared" si="16"/>
        <v>0</v>
      </c>
      <c r="AG35" s="219">
        <f t="shared" si="17"/>
        <v>0</v>
      </c>
      <c r="AH35" s="219">
        <f t="shared" si="18"/>
        <v>0</v>
      </c>
      <c r="AI35" s="219">
        <f t="shared" si="19"/>
        <v>0</v>
      </c>
      <c r="AJ35" s="219">
        <f t="shared" si="20"/>
        <v>0</v>
      </c>
      <c r="AK35" s="219">
        <f t="shared" si="21"/>
        <v>0</v>
      </c>
      <c r="AL35" s="219">
        <f t="shared" si="22"/>
        <v>0</v>
      </c>
      <c r="AM35" s="219">
        <f t="shared" si="23"/>
        <v>0</v>
      </c>
      <c r="AN35" s="301">
        <f t="shared" si="24"/>
        <v>0</v>
      </c>
      <c r="AO35" s="301">
        <f t="shared" si="25"/>
        <v>0</v>
      </c>
      <c r="AP35" s="301">
        <f t="shared" si="26"/>
        <v>0</v>
      </c>
      <c r="AQ35" s="301">
        <f t="shared" si="27"/>
        <v>0</v>
      </c>
      <c r="AR35" s="301">
        <f t="shared" si="28"/>
        <v>0</v>
      </c>
      <c r="AS35" s="301">
        <f t="shared" si="29"/>
        <v>0</v>
      </c>
      <c r="AT35" s="302">
        <f t="shared" si="30"/>
        <v>0</v>
      </c>
      <c r="AU35" s="302">
        <f t="shared" si="31"/>
        <v>0</v>
      </c>
      <c r="AV35" s="81">
        <f t="shared" si="32"/>
        <v>0</v>
      </c>
      <c r="AW35" s="82">
        <f t="shared" si="33"/>
        <v>0</v>
      </c>
      <c r="AX35" s="81">
        <f t="shared" si="34"/>
        <v>0</v>
      </c>
      <c r="AY35" s="83">
        <f t="shared" si="35"/>
        <v>0</v>
      </c>
      <c r="AZ35" s="83">
        <f t="shared" si="36"/>
        <v>0</v>
      </c>
      <c r="BA35" s="82">
        <f>IF(OR(B35=Feiertage!$A$16,B35=Feiertage!$A$19),U35*Zuschläge_24_31/100,IF(AZ35&gt;0,AZ35*Feiertag_mit/100,IF(AX35&gt;0,AX35*Zuschläge_Sa/100,IF(AY35&gt;0,AY35*Zuschlag_So/100,0))))</f>
        <v>0</v>
      </c>
      <c r="BB35" s="82">
        <f>IF(AND(B35&lt;&gt;0,G35=Voreinstellung_Übersicht!$D$41),IF(EG=1,W35*Über_klein/100,IF(EG=2,W35*Über_groß/100,"Fehler")),0)</f>
        <v>0</v>
      </c>
      <c r="BC35" s="299">
        <f t="shared" ca="1" si="41"/>
        <v>0</v>
      </c>
      <c r="BD35" s="219">
        <f t="shared" ca="1" si="37"/>
        <v>1</v>
      </c>
      <c r="BE35" s="303">
        <f ca="1">IF(B35="","",INDIRECT(ADDRESS(MATCH(B35,Soll_AZ,1)+MATCH("Arbeitszeit 1 ab",Voreinstellung_Übersicht!B:B,0)-1,4,,,"Voreinstellung_Übersicht"),TRUE))</f>
        <v>1.6666666666666665</v>
      </c>
      <c r="BF35" s="1">
        <f t="shared" si="42"/>
        <v>0</v>
      </c>
    </row>
    <row r="36" spans="1:104" s="1" customFormat="1" ht="15" x14ac:dyDescent="0.3">
      <c r="A36" s="218">
        <f t="shared" si="0"/>
        <v>40</v>
      </c>
      <c r="B36" s="47">
        <f t="shared" si="38"/>
        <v>42275</v>
      </c>
      <c r="C36" s="219">
        <f t="shared" si="1"/>
        <v>0</v>
      </c>
      <c r="D36" s="220" t="str">
        <f t="shared" si="2"/>
        <v/>
      </c>
      <c r="E36" s="298" t="str">
        <f t="shared" si="3"/>
        <v/>
      </c>
      <c r="F36" s="87">
        <f t="shared" si="4"/>
        <v>42275</v>
      </c>
      <c r="G36" s="147"/>
      <c r="H36" s="74"/>
      <c r="I36" s="75"/>
      <c r="J36" s="221">
        <f t="shared" si="5"/>
        <v>0</v>
      </c>
      <c r="K36" s="76"/>
      <c r="L36" s="221">
        <f t="shared" si="43"/>
        <v>0</v>
      </c>
      <c r="M36" s="74"/>
      <c r="N36" s="75"/>
      <c r="O36" s="221">
        <f t="shared" si="6"/>
        <v>0</v>
      </c>
      <c r="P36" s="76"/>
      <c r="Q36" s="221">
        <f t="shared" si="44"/>
        <v>0</v>
      </c>
      <c r="R36" s="221">
        <f t="shared" si="45"/>
        <v>0</v>
      </c>
      <c r="S36" s="221">
        <f t="shared" si="7"/>
        <v>0</v>
      </c>
      <c r="T36" s="79">
        <f t="shared" si="8"/>
        <v>0</v>
      </c>
      <c r="U36" s="79">
        <f t="shared" si="39"/>
        <v>0</v>
      </c>
      <c r="V36" s="80">
        <f t="shared" ca="1" si="9"/>
        <v>0</v>
      </c>
      <c r="W36" s="249" t="str">
        <f t="shared" ca="1" si="10"/>
        <v/>
      </c>
      <c r="X36" s="293"/>
      <c r="Y36" s="221">
        <f t="shared" si="11"/>
        <v>0</v>
      </c>
      <c r="Z36" s="299">
        <f ca="1">IF(B36="","",INDIRECT(ADDRESS(MATCH(B36,Soll_AZ,1)+MATCH("Arbeitszeit 1 ab",Voreinstellung_Übersicht!B:B,0)-1,WEEKDAY(B36,2)+4,,,"Voreinstellung_Übersicht"),TRUE))</f>
        <v>0</v>
      </c>
      <c r="AA36" s="300">
        <f t="shared" ca="1" si="40"/>
        <v>0</v>
      </c>
      <c r="AB36" s="219">
        <f t="shared" si="12"/>
        <v>0</v>
      </c>
      <c r="AC36" s="219">
        <f t="shared" si="13"/>
        <v>0</v>
      </c>
      <c r="AD36" s="219">
        <f t="shared" si="14"/>
        <v>0</v>
      </c>
      <c r="AE36" s="219">
        <f t="shared" si="15"/>
        <v>0</v>
      </c>
      <c r="AF36" s="219">
        <f t="shared" si="16"/>
        <v>0</v>
      </c>
      <c r="AG36" s="219">
        <f t="shared" si="17"/>
        <v>0</v>
      </c>
      <c r="AH36" s="219">
        <f t="shared" si="18"/>
        <v>0</v>
      </c>
      <c r="AI36" s="219">
        <f t="shared" si="19"/>
        <v>0</v>
      </c>
      <c r="AJ36" s="219">
        <f t="shared" si="20"/>
        <v>0</v>
      </c>
      <c r="AK36" s="219">
        <f t="shared" si="21"/>
        <v>0</v>
      </c>
      <c r="AL36" s="219">
        <f t="shared" si="22"/>
        <v>0</v>
      </c>
      <c r="AM36" s="219">
        <f t="shared" si="23"/>
        <v>0</v>
      </c>
      <c r="AN36" s="301">
        <f t="shared" si="24"/>
        <v>0</v>
      </c>
      <c r="AO36" s="301">
        <f t="shared" si="25"/>
        <v>0</v>
      </c>
      <c r="AP36" s="301">
        <f t="shared" si="26"/>
        <v>0</v>
      </c>
      <c r="AQ36" s="301">
        <f t="shared" si="27"/>
        <v>0</v>
      </c>
      <c r="AR36" s="301">
        <f t="shared" si="28"/>
        <v>0</v>
      </c>
      <c r="AS36" s="301">
        <f t="shared" si="29"/>
        <v>0</v>
      </c>
      <c r="AT36" s="302">
        <f t="shared" si="30"/>
        <v>0</v>
      </c>
      <c r="AU36" s="302">
        <f t="shared" si="31"/>
        <v>0</v>
      </c>
      <c r="AV36" s="81">
        <f t="shared" si="32"/>
        <v>0</v>
      </c>
      <c r="AW36" s="82">
        <f t="shared" si="33"/>
        <v>0</v>
      </c>
      <c r="AX36" s="81">
        <f t="shared" si="34"/>
        <v>0</v>
      </c>
      <c r="AY36" s="83">
        <f t="shared" si="35"/>
        <v>0</v>
      </c>
      <c r="AZ36" s="83">
        <f t="shared" si="36"/>
        <v>0</v>
      </c>
      <c r="BA36" s="82">
        <f>IF(OR(B36=Feiertage!$A$16,B36=Feiertage!$A$19),U36*Zuschläge_24_31/100,IF(AZ36&gt;0,AZ36*Feiertag_mit/100,IF(AX36&gt;0,AX36*Zuschläge_Sa/100,IF(AY36&gt;0,AY36*Zuschlag_So/100,0))))</f>
        <v>0</v>
      </c>
      <c r="BB36" s="82">
        <f>IF(AND(B36&lt;&gt;0,G36=Voreinstellung_Übersicht!$D$41),IF(EG=1,W36*Über_klein/100,IF(EG=2,W36*Über_groß/100,"Fehler")),0)</f>
        <v>0</v>
      </c>
      <c r="BC36" s="299">
        <f t="shared" ca="1" si="41"/>
        <v>0</v>
      </c>
      <c r="BD36" s="219">
        <f t="shared" ca="1" si="37"/>
        <v>1</v>
      </c>
      <c r="BE36" s="303">
        <f ca="1">IF(B36="","",INDIRECT(ADDRESS(MATCH(B36,Soll_AZ,1)+MATCH("Arbeitszeit 1 ab",Voreinstellung_Übersicht!B:B,0)-1,4,,,"Voreinstellung_Übersicht"),TRUE))</f>
        <v>1.6666666666666665</v>
      </c>
      <c r="BF36" s="1">
        <f t="shared" si="42"/>
        <v>0</v>
      </c>
    </row>
    <row r="37" spans="1:104" s="1" customFormat="1" ht="15" x14ac:dyDescent="0.3">
      <c r="A37" s="218">
        <f t="shared" si="0"/>
        <v>40</v>
      </c>
      <c r="B37" s="47">
        <f t="shared" si="38"/>
        <v>42276</v>
      </c>
      <c r="C37" s="219">
        <f t="shared" si="1"/>
        <v>1</v>
      </c>
      <c r="D37" s="220" t="str">
        <f t="shared" si="2"/>
        <v/>
      </c>
      <c r="E37" s="298" t="str">
        <f t="shared" si="3"/>
        <v/>
      </c>
      <c r="F37" s="87">
        <f t="shared" si="4"/>
        <v>42276</v>
      </c>
      <c r="G37" s="147"/>
      <c r="H37" s="74"/>
      <c r="I37" s="75"/>
      <c r="J37" s="221">
        <f t="shared" si="5"/>
        <v>0</v>
      </c>
      <c r="K37" s="76"/>
      <c r="L37" s="221">
        <f t="shared" si="43"/>
        <v>0</v>
      </c>
      <c r="M37" s="74"/>
      <c r="N37" s="75"/>
      <c r="O37" s="221">
        <f t="shared" si="6"/>
        <v>0</v>
      </c>
      <c r="P37" s="76"/>
      <c r="Q37" s="221">
        <f t="shared" si="44"/>
        <v>0</v>
      </c>
      <c r="R37" s="221">
        <f t="shared" si="45"/>
        <v>0</v>
      </c>
      <c r="S37" s="221">
        <f t="shared" si="7"/>
        <v>0</v>
      </c>
      <c r="T37" s="79">
        <f t="shared" si="8"/>
        <v>0</v>
      </c>
      <c r="U37" s="79">
        <f t="shared" si="39"/>
        <v>0</v>
      </c>
      <c r="V37" s="80">
        <f t="shared" ca="1" si="9"/>
        <v>0.33333333329999998</v>
      </c>
      <c r="W37" s="249" t="str">
        <f t="shared" ca="1" si="10"/>
        <v/>
      </c>
      <c r="X37" s="293"/>
      <c r="Y37" s="221">
        <f t="shared" si="11"/>
        <v>0</v>
      </c>
      <c r="Z37" s="299">
        <f ca="1">IF(B37="","",INDIRECT(ADDRESS(MATCH(B37,Soll_AZ,1)+MATCH("Arbeitszeit 1 ab",Voreinstellung_Übersicht!B:B,0)-1,WEEKDAY(B37,2)+4,,,"Voreinstellung_Übersicht"),TRUE))</f>
        <v>0.33333333333333331</v>
      </c>
      <c r="AA37" s="300">
        <f t="shared" ca="1" si="40"/>
        <v>0</v>
      </c>
      <c r="AB37" s="219">
        <f t="shared" si="12"/>
        <v>0</v>
      </c>
      <c r="AC37" s="219">
        <f t="shared" si="13"/>
        <v>0</v>
      </c>
      <c r="AD37" s="219">
        <f t="shared" si="14"/>
        <v>0</v>
      </c>
      <c r="AE37" s="219">
        <f t="shared" si="15"/>
        <v>0</v>
      </c>
      <c r="AF37" s="219">
        <f t="shared" si="16"/>
        <v>0</v>
      </c>
      <c r="AG37" s="219">
        <f t="shared" si="17"/>
        <v>0</v>
      </c>
      <c r="AH37" s="219">
        <f t="shared" si="18"/>
        <v>0</v>
      </c>
      <c r="AI37" s="219">
        <f t="shared" si="19"/>
        <v>0</v>
      </c>
      <c r="AJ37" s="219">
        <f t="shared" si="20"/>
        <v>0</v>
      </c>
      <c r="AK37" s="219">
        <f t="shared" si="21"/>
        <v>0</v>
      </c>
      <c r="AL37" s="219">
        <f t="shared" si="22"/>
        <v>0</v>
      </c>
      <c r="AM37" s="219">
        <f t="shared" si="23"/>
        <v>0</v>
      </c>
      <c r="AN37" s="301">
        <f t="shared" si="24"/>
        <v>0</v>
      </c>
      <c r="AO37" s="301">
        <f t="shared" si="25"/>
        <v>0</v>
      </c>
      <c r="AP37" s="301">
        <f t="shared" si="26"/>
        <v>0</v>
      </c>
      <c r="AQ37" s="301">
        <f t="shared" si="27"/>
        <v>0</v>
      </c>
      <c r="AR37" s="301">
        <f t="shared" si="28"/>
        <v>0</v>
      </c>
      <c r="AS37" s="301">
        <f t="shared" si="29"/>
        <v>0</v>
      </c>
      <c r="AT37" s="302">
        <f t="shared" si="30"/>
        <v>0</v>
      </c>
      <c r="AU37" s="302">
        <f t="shared" si="31"/>
        <v>0</v>
      </c>
      <c r="AV37" s="81">
        <f t="shared" si="32"/>
        <v>0</v>
      </c>
      <c r="AW37" s="82">
        <f t="shared" si="33"/>
        <v>0</v>
      </c>
      <c r="AX37" s="81">
        <f t="shared" si="34"/>
        <v>0</v>
      </c>
      <c r="AY37" s="83">
        <f t="shared" si="35"/>
        <v>0</v>
      </c>
      <c r="AZ37" s="83">
        <f t="shared" si="36"/>
        <v>0</v>
      </c>
      <c r="BA37" s="82">
        <f>IF(OR(B37=Feiertage!$A$16,B37=Feiertage!$A$19),U37*Zuschläge_24_31/100,IF(AZ37&gt;0,AZ37*Feiertag_mit/100,IF(AX37&gt;0,AX37*Zuschläge_Sa/100,IF(AY37&gt;0,AY37*Zuschlag_So/100,0))))</f>
        <v>0</v>
      </c>
      <c r="BB37" s="82">
        <f>IF(AND(B37&lt;&gt;0,G37=Voreinstellung_Übersicht!$D$41),IF(EG=1,W37*Über_klein/100,IF(EG=2,W37*Über_groß/100,"Fehler")),0)</f>
        <v>0</v>
      </c>
      <c r="BC37" s="299">
        <f t="shared" ca="1" si="41"/>
        <v>0</v>
      </c>
      <c r="BD37" s="219">
        <f t="shared" ca="1" si="37"/>
        <v>1</v>
      </c>
      <c r="BE37" s="303">
        <f ca="1">IF(B37="","",INDIRECT(ADDRESS(MATCH(B37,Soll_AZ,1)+MATCH("Arbeitszeit 1 ab",Voreinstellung_Übersicht!B:B,0)-1,4,,,"Voreinstellung_Übersicht"),TRUE))</f>
        <v>1.6666666666666665</v>
      </c>
      <c r="BF37" s="1">
        <f t="shared" si="42"/>
        <v>0</v>
      </c>
    </row>
    <row r="38" spans="1:104" s="172" customFormat="1" ht="15" x14ac:dyDescent="0.3">
      <c r="A38" s="229"/>
      <c r="B38" s="217"/>
      <c r="C38" s="230"/>
      <c r="D38" s="231"/>
      <c r="E38" s="304"/>
      <c r="F38" s="216"/>
      <c r="G38" s="147"/>
      <c r="H38" s="77"/>
      <c r="I38" s="75"/>
      <c r="J38" s="221"/>
      <c r="K38" s="76"/>
      <c r="L38" s="221"/>
      <c r="M38" s="77"/>
      <c r="N38" s="215"/>
      <c r="O38" s="232"/>
      <c r="P38" s="78"/>
      <c r="Q38" s="221"/>
      <c r="R38" s="221"/>
      <c r="S38" s="221"/>
      <c r="T38" s="79"/>
      <c r="U38" s="79"/>
      <c r="V38" s="80"/>
      <c r="W38" s="249"/>
      <c r="X38" s="294"/>
      <c r="Y38" s="221"/>
      <c r="Z38" s="299"/>
      <c r="AA38" s="300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301"/>
      <c r="AO38" s="301"/>
      <c r="AP38" s="301"/>
      <c r="AQ38" s="301"/>
      <c r="AR38" s="301"/>
      <c r="AS38" s="301"/>
      <c r="AT38" s="302"/>
      <c r="AU38" s="302"/>
      <c r="AV38" s="81"/>
      <c r="AW38" s="82"/>
      <c r="AX38" s="81"/>
      <c r="AY38" s="212"/>
      <c r="AZ38" s="212"/>
      <c r="BA38" s="213"/>
      <c r="BB38" s="213"/>
      <c r="BC38" s="299">
        <f t="shared" ca="1" si="41"/>
        <v>0</v>
      </c>
      <c r="BD38" s="219"/>
      <c r="BE38" s="306"/>
      <c r="BF38" s="1">
        <f t="shared" si="42"/>
        <v>0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5" x14ac:dyDescent="0.25">
      <c r="A39" s="233"/>
      <c r="B39" s="233"/>
      <c r="C39" s="233"/>
      <c r="D39" s="233"/>
      <c r="E39" s="233"/>
      <c r="F39" s="488" t="s">
        <v>49</v>
      </c>
      <c r="G39" s="489"/>
      <c r="H39" s="482" t="s">
        <v>171</v>
      </c>
      <c r="I39" s="483"/>
      <c r="J39" s="307"/>
      <c r="K39" s="308">
        <f>AB39</f>
        <v>0</v>
      </c>
      <c r="L39" s="221"/>
      <c r="M39" s="206"/>
      <c r="N39" s="206"/>
      <c r="O39" s="221"/>
      <c r="P39" s="206"/>
      <c r="Q39" s="221"/>
      <c r="R39" s="221"/>
      <c r="S39" s="221"/>
      <c r="T39" s="479" t="s">
        <v>172</v>
      </c>
      <c r="U39" s="482" t="s">
        <v>171</v>
      </c>
      <c r="V39" s="483"/>
      <c r="W39" s="234">
        <f ca="1">Aug!W41</f>
        <v>0</v>
      </c>
      <c r="X39" s="309"/>
      <c r="Y39" s="221" t="s">
        <v>173</v>
      </c>
      <c r="Z39" s="299" t="s">
        <v>174</v>
      </c>
      <c r="AA39" s="300"/>
      <c r="AB39" s="219">
        <f>Aug!AB41</f>
        <v>0</v>
      </c>
      <c r="AC39" s="219">
        <f>Aug!AC41</f>
        <v>0</v>
      </c>
      <c r="AD39" s="219">
        <f>Aug!AD41</f>
        <v>0</v>
      </c>
      <c r="AE39" s="219">
        <f>Aug!AE41</f>
        <v>0</v>
      </c>
      <c r="AF39" s="219">
        <f>Aug!AF41</f>
        <v>0</v>
      </c>
      <c r="AG39" s="219">
        <f>Aug!AG41</f>
        <v>0</v>
      </c>
      <c r="AH39" s="219">
        <f>Aug!AH41</f>
        <v>0</v>
      </c>
      <c r="AI39" s="219">
        <f>Aug!AI41</f>
        <v>0</v>
      </c>
      <c r="AJ39" s="219">
        <f>Aug!AJ41</f>
        <v>0</v>
      </c>
      <c r="AK39" s="219">
        <f>Aug!AK41</f>
        <v>0</v>
      </c>
      <c r="AL39" s="219">
        <f>Aug!AL41</f>
        <v>0</v>
      </c>
      <c r="AM39" s="219">
        <f>Aug!AM41</f>
        <v>0</v>
      </c>
      <c r="AN39" s="301"/>
      <c r="AO39" s="301"/>
      <c r="AP39" s="301"/>
      <c r="AQ39" s="301"/>
      <c r="AR39" s="301"/>
      <c r="AS39" s="301"/>
      <c r="AT39" s="302"/>
      <c r="AU39" s="302"/>
      <c r="AV39" s="484" t="s">
        <v>176</v>
      </c>
      <c r="AW39" s="234">
        <f>Voreinstellung_Übersicht!H12</f>
        <v>0</v>
      </c>
      <c r="AX39" s="310">
        <f>IF(AZ_Konto,SUM(AW8:AW38),0)</f>
        <v>0</v>
      </c>
      <c r="AY39" s="311"/>
      <c r="AZ39" s="312"/>
      <c r="BA39" s="311">
        <f>IF(AZ_Konto,SUM(BA8:BA38),0)</f>
        <v>0</v>
      </c>
      <c r="BB39" s="311">
        <f>IF(AZ_Konto,SUM(BB8:BB38),0)</f>
        <v>0</v>
      </c>
      <c r="BC39" s="299">
        <f ca="1">BC38</f>
        <v>0</v>
      </c>
      <c r="BD39" s="219"/>
      <c r="BE39" s="303"/>
      <c r="BF39"/>
    </row>
    <row r="40" spans="1:104" ht="15" x14ac:dyDescent="0.25">
      <c r="A40" s="233"/>
      <c r="B40" s="233"/>
      <c r="C40" s="233"/>
      <c r="D40" s="233"/>
      <c r="E40" s="233"/>
      <c r="F40" s="488"/>
      <c r="G40" s="490"/>
      <c r="H40" s="482" t="s">
        <v>177</v>
      </c>
      <c r="I40" s="483"/>
      <c r="J40" s="235"/>
      <c r="K40" s="236">
        <f>-AB40</f>
        <v>0</v>
      </c>
      <c r="L40" s="221"/>
      <c r="M40" s="206"/>
      <c r="N40" s="206"/>
      <c r="O40" s="221"/>
      <c r="P40" s="206"/>
      <c r="Q40" s="221"/>
      <c r="R40" s="221"/>
      <c r="S40" s="221"/>
      <c r="T40" s="480"/>
      <c r="U40" s="482" t="s">
        <v>177</v>
      </c>
      <c r="V40" s="483"/>
      <c r="W40" s="237">
        <f ca="1">SUM(W8:W38)</f>
        <v>0</v>
      </c>
      <c r="X40" s="309"/>
      <c r="Y40" s="221">
        <f>SUM(Y8:Y38)</f>
        <v>0</v>
      </c>
      <c r="Z40" s="299">
        <f ca="1">SUM(Z8:Z38)</f>
        <v>6.9999999999999973</v>
      </c>
      <c r="AA40" s="300"/>
      <c r="AB40" s="219">
        <f t="shared" ref="AB40:AM40" si="46">SUM(AB8:AB38)</f>
        <v>0</v>
      </c>
      <c r="AC40" s="219">
        <f t="shared" si="46"/>
        <v>0</v>
      </c>
      <c r="AD40" s="219">
        <f t="shared" si="46"/>
        <v>0</v>
      </c>
      <c r="AE40" s="219">
        <f t="shared" si="46"/>
        <v>0</v>
      </c>
      <c r="AF40" s="219">
        <f t="shared" si="46"/>
        <v>0</v>
      </c>
      <c r="AG40" s="219">
        <f t="shared" si="46"/>
        <v>0</v>
      </c>
      <c r="AH40" s="219">
        <f t="shared" si="46"/>
        <v>0</v>
      </c>
      <c r="AI40" s="219">
        <f t="shared" si="46"/>
        <v>0</v>
      </c>
      <c r="AJ40" s="219">
        <f t="shared" si="46"/>
        <v>0</v>
      </c>
      <c r="AK40" s="219">
        <f t="shared" si="46"/>
        <v>0</v>
      </c>
      <c r="AL40" s="219">
        <f t="shared" si="46"/>
        <v>0</v>
      </c>
      <c r="AM40" s="219">
        <f t="shared" si="46"/>
        <v>0</v>
      </c>
      <c r="AN40" s="301"/>
      <c r="AO40" s="301"/>
      <c r="AP40" s="301"/>
      <c r="AQ40" s="301"/>
      <c r="AR40" s="301"/>
      <c r="AS40" s="301"/>
      <c r="AT40" s="302"/>
      <c r="AU40" s="302"/>
      <c r="AV40" s="485"/>
      <c r="AW40" s="237" t="str">
        <f>IF(SUM(AX39,BA39,BB39)&gt;0,SUM(AX39,BA39,BB39),"")</f>
        <v/>
      </c>
      <c r="AX40" s="313"/>
      <c r="AY40" s="313"/>
      <c r="AZ40" s="313"/>
      <c r="BA40" s="313"/>
      <c r="BB40" s="313"/>
      <c r="BC40" s="299"/>
      <c r="BD40" s="219"/>
      <c r="BE40" s="303"/>
      <c r="BF40"/>
    </row>
    <row r="41" spans="1:104" ht="15" x14ac:dyDescent="0.25">
      <c r="A41" s="233"/>
      <c r="B41" s="233"/>
      <c r="C41" s="233"/>
      <c r="D41" s="233"/>
      <c r="E41" s="233"/>
      <c r="F41" s="491"/>
      <c r="G41" s="492"/>
      <c r="H41" s="482" t="s">
        <v>178</v>
      </c>
      <c r="I41" s="483"/>
      <c r="J41" s="238"/>
      <c r="K41" s="239">
        <f>AB41</f>
        <v>0</v>
      </c>
      <c r="L41" s="221"/>
      <c r="M41" s="206"/>
      <c r="N41" s="206"/>
      <c r="O41" s="221"/>
      <c r="P41" s="206"/>
      <c r="Q41" s="221"/>
      <c r="R41" s="221"/>
      <c r="S41" s="221"/>
      <c r="T41" s="481"/>
      <c r="U41" s="482" t="s">
        <v>178</v>
      </c>
      <c r="V41" s="483"/>
      <c r="W41" s="240">
        <f ca="1">SUM(W39:W40)</f>
        <v>0</v>
      </c>
      <c r="X41" s="309"/>
      <c r="Y41" s="221"/>
      <c r="Z41" s="299"/>
      <c r="AA41" s="300"/>
      <c r="AB41" s="219">
        <f>AB39-AB40</f>
        <v>0</v>
      </c>
      <c r="AC41" s="219">
        <f t="shared" ref="AC41:AM41" si="47">SUM(AC39:AC40)</f>
        <v>0</v>
      </c>
      <c r="AD41" s="219">
        <f t="shared" si="47"/>
        <v>0</v>
      </c>
      <c r="AE41" s="219">
        <f t="shared" si="47"/>
        <v>0</v>
      </c>
      <c r="AF41" s="219">
        <f t="shared" si="47"/>
        <v>0</v>
      </c>
      <c r="AG41" s="219">
        <f t="shared" si="47"/>
        <v>0</v>
      </c>
      <c r="AH41" s="219">
        <f t="shared" si="47"/>
        <v>0</v>
      </c>
      <c r="AI41" s="219">
        <f t="shared" si="47"/>
        <v>0</v>
      </c>
      <c r="AJ41" s="219">
        <f t="shared" si="47"/>
        <v>0</v>
      </c>
      <c r="AK41" s="219">
        <f t="shared" si="47"/>
        <v>0</v>
      </c>
      <c r="AL41" s="219">
        <f t="shared" si="47"/>
        <v>0</v>
      </c>
      <c r="AM41" s="219">
        <f t="shared" si="47"/>
        <v>0</v>
      </c>
      <c r="AN41" s="301"/>
      <c r="AO41" s="301"/>
      <c r="AP41" s="301"/>
      <c r="AQ41" s="301"/>
      <c r="AR41" s="301"/>
      <c r="AS41" s="301"/>
      <c r="AT41" s="302"/>
      <c r="AU41" s="302"/>
      <c r="AV41" s="486"/>
      <c r="AW41" s="240">
        <f>SUM(AW39:AW40)</f>
        <v>0</v>
      </c>
      <c r="AX41" s="314"/>
      <c r="AY41" s="314"/>
      <c r="AZ41" s="314"/>
      <c r="BA41" s="314"/>
      <c r="BB41" s="314"/>
      <c r="BC41" s="299"/>
      <c r="BD41" s="219"/>
      <c r="BE41" s="303"/>
      <c r="BF41"/>
    </row>
    <row r="42" spans="1:104" s="1" customFormat="1" ht="15" x14ac:dyDescent="0.3">
      <c r="A42" s="88"/>
      <c r="B42" s="47"/>
      <c r="C42" s="6"/>
      <c r="D42" s="89"/>
      <c r="E42" s="90"/>
      <c r="F42" s="487" t="s">
        <v>179</v>
      </c>
      <c r="G42" s="487"/>
      <c r="H42" s="487"/>
      <c r="I42" s="487"/>
      <c r="J42" s="347"/>
      <c r="K42" s="186">
        <f>NETWORKDAYS(B8,B37,Feiertage)</f>
        <v>21</v>
      </c>
      <c r="L42" s="331"/>
      <c r="M42" s="330"/>
      <c r="N42" s="330"/>
      <c r="O42" s="331"/>
      <c r="P42" s="330"/>
      <c r="Q42" s="331"/>
      <c r="R42" s="331"/>
      <c r="S42" s="331"/>
      <c r="T42" s="332"/>
      <c r="U42" s="332"/>
      <c r="V42" s="332"/>
      <c r="W42" s="332"/>
      <c r="X42" s="333"/>
      <c r="Y42" s="331"/>
      <c r="Z42" s="334"/>
      <c r="AA42" s="335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7"/>
      <c r="AO42" s="337"/>
      <c r="AP42" s="337"/>
      <c r="AQ42" s="337"/>
      <c r="AR42" s="337"/>
      <c r="AS42" s="337"/>
      <c r="AT42" s="338"/>
      <c r="AU42" s="338"/>
      <c r="AV42" s="339"/>
      <c r="AW42" s="340"/>
      <c r="AX42" s="83"/>
      <c r="AY42" s="83"/>
      <c r="AZ42" s="83"/>
      <c r="BA42" s="173"/>
      <c r="BB42" s="173"/>
      <c r="BC42" s="15"/>
      <c r="BD42" s="6"/>
      <c r="BE42" s="169"/>
    </row>
    <row r="43" spans="1:104" s="1" customFormat="1" ht="15" x14ac:dyDescent="0.3">
      <c r="A43" s="11"/>
      <c r="B43" s="47"/>
      <c r="C43" s="6"/>
      <c r="D43" s="6"/>
      <c r="E43" s="12"/>
      <c r="F43" s="487" t="s">
        <v>180</v>
      </c>
      <c r="G43" s="487"/>
      <c r="H43" s="487"/>
      <c r="I43" s="487"/>
      <c r="J43" s="348"/>
      <c r="K43" s="186">
        <f>SUM(BF8:BF38)</f>
        <v>0</v>
      </c>
      <c r="L43" s="336"/>
      <c r="M43" s="341"/>
      <c r="N43" s="341"/>
      <c r="O43" s="336"/>
      <c r="P43" s="341"/>
      <c r="Q43" s="336"/>
      <c r="R43" s="336"/>
      <c r="S43" s="336"/>
      <c r="T43" s="341"/>
      <c r="U43" s="341"/>
      <c r="V43" s="341"/>
      <c r="W43" s="341"/>
      <c r="X43" s="342"/>
      <c r="Y43" s="331"/>
      <c r="Z43" s="343"/>
      <c r="AA43" s="344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45"/>
      <c r="AO43" s="336"/>
      <c r="AP43" s="336"/>
      <c r="AQ43" s="336"/>
      <c r="AR43" s="336"/>
      <c r="AS43" s="336"/>
      <c r="AT43" s="346"/>
      <c r="AU43" s="346"/>
      <c r="AV43" s="341"/>
      <c r="AW43" s="341"/>
      <c r="AX43" s="26"/>
      <c r="AY43" s="26"/>
      <c r="AZ43" s="26"/>
      <c r="BA43" s="26"/>
      <c r="BC43" s="6"/>
      <c r="BD43" s="6"/>
      <c r="BE43" s="6"/>
    </row>
    <row r="45" spans="1:104" x14ac:dyDescent="0.3">
      <c r="A45" s="11"/>
      <c r="B45" s="47"/>
      <c r="C45" s="6"/>
      <c r="D45" s="6"/>
      <c r="E45" s="12"/>
      <c r="F45" s="329"/>
      <c r="G45" s="329"/>
      <c r="H45" s="341"/>
      <c r="I45" s="341"/>
      <c r="J45" s="336"/>
      <c r="K45" s="341"/>
      <c r="L45" s="336"/>
      <c r="M45" s="341"/>
      <c r="N45" s="341"/>
      <c r="O45" s="336"/>
      <c r="P45" s="341"/>
      <c r="Q45" s="336"/>
      <c r="R45" s="336"/>
      <c r="S45" s="336"/>
      <c r="T45" s="341"/>
      <c r="U45" s="341"/>
      <c r="V45" s="341"/>
      <c r="W45" s="341"/>
      <c r="X45" s="342"/>
      <c r="Y45" s="331"/>
      <c r="Z45" s="343"/>
      <c r="AA45" s="344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45"/>
      <c r="AO45" s="336"/>
      <c r="AP45" s="336"/>
      <c r="AQ45" s="336"/>
      <c r="AR45" s="336"/>
      <c r="AS45" s="336"/>
      <c r="AT45" s="346"/>
      <c r="AU45" s="346"/>
      <c r="AV45" s="341"/>
      <c r="AW45" s="341"/>
      <c r="AX45" s="26"/>
      <c r="AY45" s="26"/>
      <c r="AZ45" s="26"/>
      <c r="BA45" s="26"/>
      <c r="BB45" s="1"/>
      <c r="BC45" s="6"/>
      <c r="BD45" s="6"/>
      <c r="BE45" s="6"/>
      <c r="BG45" s="1"/>
    </row>
    <row r="46" spans="1:104" x14ac:dyDescent="0.3">
      <c r="A46" s="11"/>
      <c r="B46" s="47"/>
      <c r="C46" s="6"/>
      <c r="D46" s="6"/>
      <c r="E46" s="12"/>
      <c r="F46" s="329"/>
      <c r="G46" s="329"/>
      <c r="H46" s="341"/>
      <c r="I46" s="341"/>
      <c r="J46" s="336"/>
      <c r="K46" s="341"/>
      <c r="L46" s="336"/>
      <c r="M46" s="341"/>
      <c r="N46" s="341"/>
      <c r="O46" s="336"/>
      <c r="P46" s="341"/>
      <c r="Q46" s="336"/>
      <c r="R46" s="336"/>
      <c r="S46" s="336"/>
      <c r="T46" s="341"/>
      <c r="U46" s="341"/>
      <c r="V46" s="341"/>
      <c r="W46" s="341"/>
      <c r="X46" s="342"/>
      <c r="Y46" s="331"/>
      <c r="Z46" s="343"/>
      <c r="AA46" s="344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45"/>
      <c r="AO46" s="336"/>
      <c r="AP46" s="336"/>
      <c r="AQ46" s="336"/>
      <c r="AR46" s="336"/>
      <c r="AS46" s="336"/>
      <c r="AT46" s="346"/>
      <c r="AU46" s="346"/>
      <c r="AV46" s="341"/>
      <c r="AW46" s="341"/>
      <c r="AX46" s="26"/>
      <c r="AY46" s="26"/>
      <c r="AZ46" s="26"/>
      <c r="BA46" s="26"/>
      <c r="BB46" s="1"/>
      <c r="BC46" s="6"/>
      <c r="BD46" s="6"/>
      <c r="BE46" s="6"/>
      <c r="BG46" s="1"/>
    </row>
    <row r="47" spans="1:104" x14ac:dyDescent="0.3">
      <c r="A47" s="11"/>
      <c r="B47" s="47"/>
      <c r="C47" s="6"/>
      <c r="D47" s="6"/>
      <c r="E47" s="12"/>
      <c r="F47" s="329"/>
      <c r="G47" s="329"/>
      <c r="H47" s="341"/>
      <c r="I47" s="341"/>
      <c r="J47" s="336"/>
      <c r="K47" s="341"/>
      <c r="L47" s="336"/>
      <c r="M47" s="341"/>
      <c r="N47" s="341"/>
      <c r="O47" s="336"/>
      <c r="P47" s="341"/>
      <c r="Q47" s="336"/>
      <c r="R47" s="336"/>
      <c r="S47" s="336"/>
      <c r="T47" s="341"/>
      <c r="U47" s="341"/>
      <c r="V47" s="341"/>
      <c r="W47" s="341"/>
      <c r="X47" s="342"/>
      <c r="Y47" s="331"/>
      <c r="Z47" s="343"/>
      <c r="AA47" s="344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45"/>
      <c r="AO47" s="336"/>
      <c r="AP47" s="336"/>
      <c r="AQ47" s="336"/>
      <c r="AR47" s="336"/>
      <c r="AS47" s="336"/>
      <c r="AT47" s="346"/>
      <c r="AU47" s="346"/>
      <c r="AV47" s="341"/>
      <c r="AW47" s="341"/>
      <c r="AX47" s="26"/>
      <c r="AY47" s="26"/>
      <c r="AZ47" s="26"/>
      <c r="BA47" s="26"/>
      <c r="BB47" s="1"/>
      <c r="BC47" s="6"/>
      <c r="BD47" s="6"/>
      <c r="BE47" s="6"/>
      <c r="BG47" s="1"/>
    </row>
  </sheetData>
  <sheetProtection algorithmName="SHA-512" hashValue="0CPDagxYYqXZzN0TklEYu2+1zRYMmmvplxJNNhg5GnpVrc67zizNUV1slxRr5rnaCxIMhJodCBAL1RHHKvUOiw==" saltValue="35GKRN7pp0zpuHYyYLqjKg==" spinCount="100000" sheet="1" objects="1" scenarios="1" formatCells="0" selectLockedCells="1"/>
  <mergeCells count="26">
    <mergeCell ref="F42:I42"/>
    <mergeCell ref="F43:I43"/>
    <mergeCell ref="AX6:BA6"/>
    <mergeCell ref="F39:G41"/>
    <mergeCell ref="H39:I39"/>
    <mergeCell ref="T39:T41"/>
    <mergeCell ref="U39:V39"/>
    <mergeCell ref="H40:I40"/>
    <mergeCell ref="U40:V40"/>
    <mergeCell ref="H41:I41"/>
    <mergeCell ref="U41:V41"/>
    <mergeCell ref="H6:P6"/>
    <mergeCell ref="AA3:AA6"/>
    <mergeCell ref="AN6:AS6"/>
    <mergeCell ref="AT6:AU6"/>
    <mergeCell ref="AV6:AW6"/>
    <mergeCell ref="F6:F7"/>
    <mergeCell ref="AV39:AV41"/>
    <mergeCell ref="G6:G7"/>
    <mergeCell ref="AN2:AS4"/>
    <mergeCell ref="AT2:AU4"/>
    <mergeCell ref="E2:G2"/>
    <mergeCell ref="H2:I2"/>
    <mergeCell ref="E3:G3"/>
    <mergeCell ref="H3:I3"/>
    <mergeCell ref="E4:G4"/>
  </mergeCells>
  <conditionalFormatting sqref="B7:E7 B8:F39 B40:E41 B5:F6">
    <cfRule type="expression" dxfId="91" priority="13">
      <formula>AND($C5=0,NOT($C5=""))</formula>
    </cfRule>
  </conditionalFormatting>
  <conditionalFormatting sqref="B6:F6 B7:E7 BB6:BB41 B39:F39 B40:E41 H39:H41 J39:U39 J40:S41 U40:U41 W40:AU41 AW40:BA41 F41:G41 I41 T41 V41 AV41 B8:BA38 H6:BA7 B5:BA5 W39:BA39">
    <cfRule type="expression" dxfId="90" priority="14">
      <formula>AND($C5=0,NOT($C5=""))</formula>
    </cfRule>
  </conditionalFormatting>
  <conditionalFormatting sqref="G6 BC8:BC38">
    <cfRule type="expression" dxfId="89" priority="18">
      <formula>AND($C7=0,NOT($C7=""))</formula>
    </cfRule>
  </conditionalFormatting>
  <conditionalFormatting sqref="BC38:BC41">
    <cfRule type="expression" dxfId="88" priority="19">
      <formula>AND(#REF!=0,NOT(#REF!=""))</formula>
    </cfRule>
  </conditionalFormatting>
  <conditionalFormatting sqref="W8:X41 BC8:BD41">
    <cfRule type="expression" dxfId="87" priority="10">
      <formula>$BD8=3</formula>
    </cfRule>
    <cfRule type="expression" dxfId="86" priority="11">
      <formula>$BD8=2</formula>
    </cfRule>
  </conditionalFormatting>
  <conditionalFormatting sqref="W8:W41 BC8:BD41">
    <cfRule type="expression" dxfId="85" priority="12">
      <formula>$BD8=1</formula>
    </cfRule>
  </conditionalFormatting>
  <conditionalFormatting sqref="A8:BB38">
    <cfRule type="expression" dxfId="84" priority="9">
      <formula>$R$1=TRUE</formula>
    </cfRule>
  </conditionalFormatting>
  <conditionalFormatting sqref="B1:F4">
    <cfRule type="expression" dxfId="83" priority="7">
      <formula>AND($C1=0,NOT($C1=""))</formula>
    </cfRule>
  </conditionalFormatting>
  <conditionalFormatting sqref="B1:BA4">
    <cfRule type="expression" dxfId="82" priority="8">
      <formula>AND($C1=0,NOT($C1=""))</formula>
    </cfRule>
  </conditionalFormatting>
  <conditionalFormatting sqref="B42:F42">
    <cfRule type="expression" dxfId="81" priority="4">
      <formula>AND($C42=0,NOT($C42=""))</formula>
    </cfRule>
  </conditionalFormatting>
  <conditionalFormatting sqref="BB42">
    <cfRule type="expression" dxfId="80" priority="5">
      <formula>AND($C42=0,NOT($C42=""))</formula>
    </cfRule>
  </conditionalFormatting>
  <conditionalFormatting sqref="BC42">
    <cfRule type="expression" dxfId="79" priority="6">
      <formula>AND(#REF!=0,NOT(#REF!=""))</formula>
    </cfRule>
  </conditionalFormatting>
  <conditionalFormatting sqref="BC42:BD42">
    <cfRule type="expression" dxfId="78" priority="1">
      <formula>$BD42=3</formula>
    </cfRule>
    <cfRule type="expression" dxfId="77" priority="2">
      <formula>$BD42=2</formula>
    </cfRule>
  </conditionalFormatting>
  <conditionalFormatting sqref="BC42:BD42">
    <cfRule type="expression" dxfId="76" priority="3">
      <formula>$BD42=1</formula>
    </cfRule>
  </conditionalFormatting>
  <dataValidations count="2">
    <dataValidation type="list" allowBlank="1" showInputMessage="1" showErrorMessage="1" sqref="G8:G38">
      <formula1>Code_Liste</formula1>
    </dataValidation>
    <dataValidation type="time" allowBlank="1" showInputMessage="1" showErrorMessage="1" sqref="H8:I12 K8:K12">
      <formula1>$R$6</formula1>
      <formula2>$S$6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stopIfTrue="1" id="{0D659990-9AB8-44D8-94A7-6DA648E54570}">
            <xm:f>Voreinstellung_Übersicht!$R$14=3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17" stopIfTrue="1" id="{7690AA1E-2046-4D8D-8452-6B58BF5B113C}">
            <xm:f>Voreinstellung_Übersicht!$R$14=2</xm:f>
            <x14:dxf>
              <fill>
                <patternFill>
                  <bgColor rgb="FFFFC000"/>
                </patternFill>
              </fill>
            </x14:dxf>
          </x14:cfRule>
          <xm:sqref>W7:X41</xm:sqref>
        </x14:conditionalFormatting>
        <x14:conditionalFormatting xmlns:xm="http://schemas.microsoft.com/office/excel/2006/main">
          <x14:cfRule type="expression" priority="15" stopIfTrue="1" id="{CD6BE085-541C-46EB-BAB4-A6F9E64018B2}">
            <xm:f>Voreinstellung_Übersicht!$R$14=1</xm:f>
            <x14:dxf>
              <fill>
                <patternFill>
                  <bgColor theme="9" tint="0.59996337778862885"/>
                </patternFill>
              </fill>
            </x14:dxf>
          </x14:cfRule>
          <xm:sqref>W7:W41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7"/>
  <sheetViews>
    <sheetView zoomScale="80" zoomScaleNormal="80" workbookViewId="0">
      <selection activeCell="G8" sqref="G8"/>
    </sheetView>
  </sheetViews>
  <sheetFormatPr baseColWidth="10" defaultColWidth="11.42578125" defaultRowHeight="15.75" x14ac:dyDescent="0.3"/>
  <cols>
    <col min="1" max="1" width="5.5703125" customWidth="1"/>
    <col min="2" max="2" width="12.7109375" bestFit="1" customWidth="1"/>
    <col min="3" max="4" width="0" hidden="1" customWidth="1"/>
    <col min="5" max="5" width="15.7109375" style="242" customWidth="1"/>
    <col min="6" max="6" width="6.28515625" customWidth="1"/>
    <col min="7" max="7" width="6" customWidth="1"/>
    <col min="8" max="9" width="11.5703125" bestFit="1" customWidth="1"/>
    <col min="10" max="10" width="0" hidden="1" customWidth="1"/>
    <col min="11" max="11" width="11.42578125" customWidth="1"/>
    <col min="12" max="12" width="0" hidden="1" customWidth="1"/>
    <col min="13" max="14" width="11.5703125" bestFit="1" customWidth="1"/>
    <col min="15" max="15" width="0" hidden="1" customWidth="1"/>
    <col min="17" max="19" width="0" hidden="1" customWidth="1"/>
    <col min="20" max="21" width="11.5703125" bestFit="1" customWidth="1"/>
    <col min="24" max="24" width="25.7109375" customWidth="1"/>
    <col min="25" max="46" width="11.5703125" hidden="1" customWidth="1"/>
    <col min="47" max="47" width="11.42578125" hidden="1" customWidth="1"/>
    <col min="49" max="49" width="13.7109375" customWidth="1"/>
    <col min="53" max="53" width="13" customWidth="1"/>
    <col min="54" max="54" width="18.140625" customWidth="1"/>
    <col min="55" max="57" width="11.5703125" hidden="1" customWidth="1"/>
    <col min="58" max="58" width="11.5703125" style="1" hidden="1" customWidth="1"/>
  </cols>
  <sheetData>
    <row r="1" spans="1:58" s="1" customFormat="1" thickBot="1" x14ac:dyDescent="0.35">
      <c r="A1" s="26"/>
      <c r="B1" s="47"/>
      <c r="C1" s="6"/>
      <c r="D1" s="6"/>
      <c r="E1" s="12"/>
      <c r="F1" s="66"/>
      <c r="G1" s="66"/>
      <c r="H1" s="26"/>
      <c r="I1" s="26"/>
      <c r="J1" s="6"/>
      <c r="K1" s="26"/>
      <c r="L1" s="6"/>
      <c r="M1" s="26"/>
      <c r="N1" s="26"/>
      <c r="O1" s="6"/>
      <c r="P1" s="26"/>
      <c r="Q1" s="6" t="s">
        <v>123</v>
      </c>
      <c r="R1" s="315" t="b">
        <v>0</v>
      </c>
      <c r="S1" s="6"/>
      <c r="T1" s="26"/>
      <c r="U1" s="26"/>
      <c r="V1" s="26"/>
      <c r="W1" s="26"/>
      <c r="X1" s="48"/>
      <c r="Y1" s="7"/>
      <c r="Z1" s="8"/>
      <c r="AA1" s="17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3"/>
      <c r="AO1" s="6"/>
      <c r="AP1" s="6"/>
      <c r="AQ1" s="6"/>
      <c r="AR1" s="6"/>
      <c r="AS1" s="6"/>
      <c r="AT1" s="14"/>
      <c r="AU1" s="14"/>
      <c r="AV1" s="26"/>
      <c r="AW1" s="26"/>
      <c r="AX1" s="26"/>
      <c r="AY1" s="26"/>
      <c r="AZ1" s="26"/>
      <c r="BA1" s="26"/>
      <c r="BC1" s="6"/>
      <c r="BD1" s="6"/>
      <c r="BE1" s="6"/>
    </row>
    <row r="2" spans="1:58" s="1" customFormat="1" ht="16.5" customHeight="1" x14ac:dyDescent="0.3">
      <c r="A2" s="26"/>
      <c r="B2" s="71" t="s">
        <v>1</v>
      </c>
      <c r="C2" s="222" t="str">
        <f>Name</f>
        <v>Max Mustermann</v>
      </c>
      <c r="D2" s="222"/>
      <c r="E2" s="466" t="str">
        <f>C2</f>
        <v>Max Mustermann</v>
      </c>
      <c r="F2" s="466"/>
      <c r="G2" s="466"/>
      <c r="H2" s="471" t="s">
        <v>7</v>
      </c>
      <c r="I2" s="471"/>
      <c r="J2" s="222"/>
      <c r="K2" s="69">
        <f>Personalnummer</f>
        <v>123456789</v>
      </c>
      <c r="L2" s="219"/>
      <c r="M2" s="26"/>
      <c r="N2" s="26"/>
      <c r="O2" s="219"/>
      <c r="P2" s="26"/>
      <c r="Q2" s="219"/>
      <c r="R2" s="219"/>
      <c r="S2" s="219"/>
      <c r="T2" s="26"/>
      <c r="U2" s="26"/>
      <c r="V2" s="26"/>
      <c r="W2" s="26"/>
      <c r="X2" s="48"/>
      <c r="Y2" s="221"/>
      <c r="Z2" s="295"/>
      <c r="AA2" s="296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474"/>
      <c r="AO2" s="474"/>
      <c r="AP2" s="474"/>
      <c r="AQ2" s="474"/>
      <c r="AR2" s="474"/>
      <c r="AS2" s="474"/>
      <c r="AT2" s="470" t="s">
        <v>124</v>
      </c>
      <c r="AU2" s="470"/>
      <c r="AV2" s="26"/>
      <c r="AW2" s="26"/>
      <c r="AX2" s="26"/>
      <c r="AY2" s="26"/>
      <c r="AZ2" s="26"/>
      <c r="BA2" s="26"/>
      <c r="BB2" s="29"/>
      <c r="BC2" s="219"/>
      <c r="BD2" s="219"/>
      <c r="BE2" s="219"/>
    </row>
    <row r="3" spans="1:58" s="1" customFormat="1" ht="16.5" customHeight="1" x14ac:dyDescent="0.3">
      <c r="A3" s="26"/>
      <c r="B3" s="72" t="s">
        <v>125</v>
      </c>
      <c r="C3" s="223">
        <f>Jahr</f>
        <v>42004</v>
      </c>
      <c r="D3" s="223"/>
      <c r="E3" s="468">
        <f>Jahr</f>
        <v>42004</v>
      </c>
      <c r="F3" s="468"/>
      <c r="G3" s="468"/>
      <c r="H3" s="472" t="s">
        <v>5</v>
      </c>
      <c r="I3" s="472"/>
      <c r="J3" s="224"/>
      <c r="K3" s="70">
        <f>Geburtstag</f>
        <v>16833</v>
      </c>
      <c r="L3" s="219"/>
      <c r="M3" s="26"/>
      <c r="N3" s="26"/>
      <c r="O3" s="219"/>
      <c r="P3" s="26"/>
      <c r="Q3" s="219"/>
      <c r="R3" s="219"/>
      <c r="S3" s="219"/>
      <c r="T3" s="26"/>
      <c r="U3" s="26"/>
      <c r="V3" s="26"/>
      <c r="W3" s="26"/>
      <c r="X3" s="48"/>
      <c r="Y3" s="221"/>
      <c r="Z3" s="295"/>
      <c r="AA3" s="475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474"/>
      <c r="AO3" s="474"/>
      <c r="AP3" s="474"/>
      <c r="AQ3" s="474"/>
      <c r="AR3" s="474"/>
      <c r="AS3" s="474"/>
      <c r="AT3" s="470"/>
      <c r="AU3" s="470"/>
      <c r="AV3" s="26"/>
      <c r="AW3" s="26"/>
      <c r="AX3" s="26"/>
      <c r="AY3" s="26"/>
      <c r="AZ3" s="26"/>
      <c r="BA3" s="26"/>
      <c r="BB3" s="29"/>
      <c r="BC3" s="219"/>
      <c r="BD3" s="219"/>
      <c r="BE3" s="219"/>
    </row>
    <row r="4" spans="1:58" s="1" customFormat="1" ht="16.5" customHeight="1" thickBot="1" x14ac:dyDescent="0.35">
      <c r="A4" s="26"/>
      <c r="B4" s="322" t="s">
        <v>126</v>
      </c>
      <c r="C4" s="323">
        <f>Jahr</f>
        <v>42004</v>
      </c>
      <c r="D4" s="323"/>
      <c r="E4" s="467">
        <f>B8</f>
        <v>42277</v>
      </c>
      <c r="F4" s="467"/>
      <c r="G4" s="467"/>
      <c r="H4" s="324"/>
      <c r="I4" s="324"/>
      <c r="J4" s="325"/>
      <c r="K4" s="326"/>
      <c r="L4" s="219"/>
      <c r="M4" s="26"/>
      <c r="N4" s="26"/>
      <c r="O4" s="219"/>
      <c r="P4" s="26"/>
      <c r="Q4" s="219"/>
      <c r="R4" s="219"/>
      <c r="S4" s="219"/>
      <c r="T4" s="26"/>
      <c r="U4" s="26"/>
      <c r="V4" s="26"/>
      <c r="W4" s="26"/>
      <c r="X4" s="48"/>
      <c r="Y4" s="221"/>
      <c r="Z4" s="295"/>
      <c r="AA4" s="475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474"/>
      <c r="AO4" s="474"/>
      <c r="AP4" s="474"/>
      <c r="AQ4" s="474"/>
      <c r="AR4" s="474"/>
      <c r="AS4" s="474"/>
      <c r="AT4" s="470"/>
      <c r="AU4" s="470"/>
      <c r="AV4" s="26"/>
      <c r="AW4" s="26"/>
      <c r="AX4" s="26"/>
      <c r="AY4" s="26"/>
      <c r="AZ4" s="26"/>
      <c r="BA4" s="26"/>
      <c r="BB4" s="29"/>
      <c r="BC4" s="219"/>
      <c r="BD4" s="219"/>
      <c r="BE4" s="219"/>
    </row>
    <row r="5" spans="1:58" s="1" customFormat="1" ht="15" x14ac:dyDescent="0.3">
      <c r="A5" s="26"/>
      <c r="B5" s="73"/>
      <c r="C5" s="225"/>
      <c r="D5" s="225"/>
      <c r="E5" s="67"/>
      <c r="F5" s="67"/>
      <c r="G5" s="67"/>
      <c r="H5" s="68"/>
      <c r="I5" s="68"/>
      <c r="J5" s="226"/>
      <c r="K5" s="68"/>
      <c r="L5" s="219"/>
      <c r="M5" s="26"/>
      <c r="N5" s="26"/>
      <c r="O5" s="219"/>
      <c r="P5" s="26"/>
      <c r="Q5" s="219"/>
      <c r="R5" s="219"/>
      <c r="S5" s="219"/>
      <c r="T5" s="26"/>
      <c r="U5" s="26"/>
      <c r="V5" s="26"/>
      <c r="W5" s="26"/>
      <c r="X5" s="48"/>
      <c r="Y5" s="221"/>
      <c r="Z5" s="295"/>
      <c r="AA5" s="475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73"/>
      <c r="AO5" s="273"/>
      <c r="AP5" s="273"/>
      <c r="AQ5" s="273"/>
      <c r="AR5" s="273"/>
      <c r="AS5" s="273"/>
      <c r="AT5" s="272"/>
      <c r="AU5" s="272"/>
      <c r="AV5" s="26"/>
      <c r="AW5" s="26"/>
      <c r="AX5" s="26"/>
      <c r="AY5" s="26"/>
      <c r="AZ5" s="26"/>
      <c r="BA5" s="26"/>
      <c r="BB5" s="29"/>
      <c r="BC5" s="219"/>
      <c r="BD5" s="219"/>
      <c r="BE5" s="219"/>
    </row>
    <row r="6" spans="1:58" s="1" customFormat="1" ht="27.6" customHeight="1" x14ac:dyDescent="0.3">
      <c r="A6" s="227"/>
      <c r="B6" s="86"/>
      <c r="C6" s="228" t="s">
        <v>127</v>
      </c>
      <c r="D6" s="228" t="s">
        <v>81</v>
      </c>
      <c r="E6" s="297"/>
      <c r="F6" s="465" t="s">
        <v>128</v>
      </c>
      <c r="G6" s="476" t="s">
        <v>129</v>
      </c>
      <c r="H6" s="462" t="s">
        <v>130</v>
      </c>
      <c r="I6" s="464"/>
      <c r="J6" s="464"/>
      <c r="K6" s="464"/>
      <c r="L6" s="464"/>
      <c r="M6" s="464"/>
      <c r="N6" s="464"/>
      <c r="O6" s="464"/>
      <c r="P6" s="464"/>
      <c r="Q6" s="228" t="s">
        <v>131</v>
      </c>
      <c r="R6" s="228">
        <v>0</v>
      </c>
      <c r="S6" s="228">
        <v>1</v>
      </c>
      <c r="T6" s="84"/>
      <c r="U6" s="84"/>
      <c r="V6" s="84"/>
      <c r="W6" s="85"/>
      <c r="X6" s="291"/>
      <c r="Y6" s="221"/>
      <c r="Z6" s="295"/>
      <c r="AA6" s="475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473" t="s">
        <v>82</v>
      </c>
      <c r="AO6" s="473"/>
      <c r="AP6" s="473"/>
      <c r="AQ6" s="473"/>
      <c r="AR6" s="473"/>
      <c r="AS6" s="473"/>
      <c r="AT6" s="469" t="s">
        <v>70</v>
      </c>
      <c r="AU6" s="469"/>
      <c r="AV6" s="462" t="s">
        <v>105</v>
      </c>
      <c r="AW6" s="463"/>
      <c r="AX6" s="462" t="s">
        <v>132</v>
      </c>
      <c r="AY6" s="464"/>
      <c r="AZ6" s="464"/>
      <c r="BA6" s="465"/>
      <c r="BB6" s="211" t="s">
        <v>133</v>
      </c>
      <c r="BC6" s="219" t="s">
        <v>134</v>
      </c>
      <c r="BD6" s="219"/>
      <c r="BE6" s="219"/>
    </row>
    <row r="7" spans="1:58" s="290" customFormat="1" ht="39" customHeight="1" x14ac:dyDescent="0.25">
      <c r="A7" s="279" t="s">
        <v>135</v>
      </c>
      <c r="B7" s="274" t="s">
        <v>80</v>
      </c>
      <c r="C7" s="281"/>
      <c r="D7" s="281"/>
      <c r="E7" s="241" t="s">
        <v>136</v>
      </c>
      <c r="F7" s="478"/>
      <c r="G7" s="477"/>
      <c r="H7" s="275" t="s">
        <v>137</v>
      </c>
      <c r="I7" s="276" t="s">
        <v>138</v>
      </c>
      <c r="J7" s="282" t="s">
        <v>139</v>
      </c>
      <c r="K7" s="277" t="s">
        <v>140</v>
      </c>
      <c r="L7" s="281" t="s">
        <v>141</v>
      </c>
      <c r="M7" s="275" t="s">
        <v>142</v>
      </c>
      <c r="N7" s="276" t="s">
        <v>143</v>
      </c>
      <c r="O7" s="282" t="s">
        <v>144</v>
      </c>
      <c r="P7" s="277" t="s">
        <v>145</v>
      </c>
      <c r="Q7" s="281" t="s">
        <v>146</v>
      </c>
      <c r="R7" s="281" t="s">
        <v>147</v>
      </c>
      <c r="S7" s="281" t="s">
        <v>148</v>
      </c>
      <c r="T7" s="211" t="s">
        <v>149</v>
      </c>
      <c r="U7" s="211" t="s">
        <v>150</v>
      </c>
      <c r="V7" s="275" t="s">
        <v>151</v>
      </c>
      <c r="W7" s="278" t="s">
        <v>152</v>
      </c>
      <c r="X7" s="278" t="s">
        <v>153</v>
      </c>
      <c r="Y7" s="283" t="s">
        <v>154</v>
      </c>
      <c r="Z7" s="284" t="s">
        <v>155</v>
      </c>
      <c r="AA7" s="285" t="s">
        <v>134</v>
      </c>
      <c r="AB7" s="286" t="s">
        <v>49</v>
      </c>
      <c r="AC7" s="286" t="s">
        <v>59</v>
      </c>
      <c r="AD7" s="286" t="s">
        <v>57</v>
      </c>
      <c r="AE7" s="286" t="s">
        <v>55</v>
      </c>
      <c r="AF7" s="286" t="s">
        <v>156</v>
      </c>
      <c r="AG7" s="286" t="s">
        <v>157</v>
      </c>
      <c r="AH7" s="286" t="s">
        <v>61</v>
      </c>
      <c r="AI7" s="286" t="s">
        <v>65</v>
      </c>
      <c r="AJ7" s="286" t="s">
        <v>74</v>
      </c>
      <c r="AK7" s="286" t="s">
        <v>76</v>
      </c>
      <c r="AL7" s="286" t="s">
        <v>158</v>
      </c>
      <c r="AM7" s="286" t="s">
        <v>78</v>
      </c>
      <c r="AN7" s="287" t="s">
        <v>159</v>
      </c>
      <c r="AO7" s="286" t="s">
        <v>160</v>
      </c>
      <c r="AP7" s="286" t="s">
        <v>81</v>
      </c>
      <c r="AQ7" s="286" t="s">
        <v>161</v>
      </c>
      <c r="AR7" s="286" t="s">
        <v>162</v>
      </c>
      <c r="AS7" s="286" t="s">
        <v>39</v>
      </c>
      <c r="AT7" s="288" t="s">
        <v>163</v>
      </c>
      <c r="AU7" s="288" t="s">
        <v>164</v>
      </c>
      <c r="AV7" s="279" t="s">
        <v>165</v>
      </c>
      <c r="AW7" s="280" t="s">
        <v>166</v>
      </c>
      <c r="AX7" s="279" t="s">
        <v>38</v>
      </c>
      <c r="AY7" s="241" t="s">
        <v>39</v>
      </c>
      <c r="AZ7" s="241" t="s">
        <v>81</v>
      </c>
      <c r="BA7" s="280" t="s">
        <v>167</v>
      </c>
      <c r="BB7" s="280" t="s">
        <v>167</v>
      </c>
      <c r="BC7" s="289" t="s">
        <v>165</v>
      </c>
      <c r="BD7" s="289" t="s">
        <v>168</v>
      </c>
      <c r="BE7" s="289" t="s">
        <v>169</v>
      </c>
      <c r="BF7" s="290" t="s">
        <v>170</v>
      </c>
    </row>
    <row r="8" spans="1:58" s="1" customFormat="1" ht="15" x14ac:dyDescent="0.3">
      <c r="A8" s="218">
        <f t="shared" ref="A8:A38" si="0">WEEKNUM(B8)</f>
        <v>40</v>
      </c>
      <c r="B8" s="47">
        <f>Sep!B37+1</f>
        <v>42277</v>
      </c>
      <c r="C8" s="219">
        <f t="shared" ref="C8:C38" si="1">NETWORKDAYS(B8,B8,Feiertage)</f>
        <v>1</v>
      </c>
      <c r="D8" s="220" t="str">
        <f t="shared" ref="D8:D38" si="2">IF(ISERROR(VLOOKUP(B8,Feiertage_ganz,4,FALSE)),"",(VLOOKUP(B8,Feiertage_ganz,4,FALSE)))</f>
        <v/>
      </c>
      <c r="E8" s="298" t="str">
        <f t="shared" ref="E8:E38" si="3">D8</f>
        <v/>
      </c>
      <c r="F8" s="87">
        <f t="shared" ref="F8:F38" si="4">B8</f>
        <v>42277</v>
      </c>
      <c r="G8" s="147"/>
      <c r="H8" s="214"/>
      <c r="I8" s="75"/>
      <c r="J8" s="221">
        <f t="shared" ref="J8:J38" si="5">I8-H8</f>
        <v>0</v>
      </c>
      <c r="K8" s="76"/>
      <c r="L8" s="221">
        <f>IF(J8-K8&gt;Pause_9,Pause_9p,IF(J8-K8&gt;Pause_6,Pause_6p,0))</f>
        <v>0</v>
      </c>
      <c r="M8" s="74"/>
      <c r="N8" s="75"/>
      <c r="O8" s="221">
        <f t="shared" ref="O8:O38" si="6">N8-M8</f>
        <v>0</v>
      </c>
      <c r="P8" s="76"/>
      <c r="Q8" s="221">
        <f>IF(O8-P8&gt;Pause_9,Pause_9p,IF(O8-P8&gt;Pause_6,Pause_6p,0))</f>
        <v>0</v>
      </c>
      <c r="R8" s="221">
        <f>IF(J8+O8-K8-P8&gt;Pause_9,Pause_9p,IF(J8+O8-K8-P8&gt;Pause_6,Pause_6p,0))</f>
        <v>0</v>
      </c>
      <c r="S8" s="221">
        <f t="shared" ref="S8:S38" si="7">IF(M8&gt;I8,IF(M8-I8+K8+P8&gt;=R8,K8+P8,R8),IF(K8+P8&gt;=R8,K8+P8,R8))</f>
        <v>0</v>
      </c>
      <c r="T8" s="79">
        <f t="shared" ref="T8:T38" si="8">IF(I8&lt;=M8,I8-H8+N8-M8,IF(I8&lt;=N8,N8-H8,I8-H8))</f>
        <v>0</v>
      </c>
      <c r="U8" s="79">
        <f>ROUND(T8-S8,10)</f>
        <v>0</v>
      </c>
      <c r="V8" s="80">
        <f t="shared" ref="V8:V38" ca="1" si="9">ROUND(IF(AND(D8&lt;&gt;"",G8=""),IF(ISERROR(VLOOKUP(B8,Feiertage,3,FALSE)),0,Z8),IF(B8="",0,IF(G8&lt;&gt;"",IF(UPPER(G8)=VLOOKUP(UPPER(G8),Code,1,FALSE),VLOOKUP(G8,Code,2,FALSE)*Z8,Z8),Z8))),10)</f>
        <v>0.33333333329999998</v>
      </c>
      <c r="W8" s="249" t="str">
        <f t="shared" ref="W8:W38" ca="1" si="10">IF(OR(AND(VLOOKUP(UPPER(G8),Code,3,FALSE)=2,U8&gt;V8),AND(I8&lt;&gt;0,B8&lt;&gt;"",G8=""),VLOOKUP(UPPER(G8),Code,3,FALSE)=1),U8-V8,"")</f>
        <v/>
      </c>
      <c r="X8" s="292"/>
      <c r="Y8" s="221">
        <f t="shared" ref="Y8:Y38" si="11">IF(G8&lt;&gt;"",IF(VLOOKUP(G8,Code,2,FALSE)=2,U8,IF(AND(VLOOKUP(G8,Code,2,FALSE)=1,U8&gt;Z8),U8,0)),0)</f>
        <v>0</v>
      </c>
      <c r="Z8" s="299">
        <f ca="1">IF(B8="","",INDIRECT(ADDRESS(MATCH(B8,Soll_AZ,1)+MATCH("Arbeitszeit 1 ab",Voreinstellung_Übersicht!B:B,0)-1,WEEKDAY(B8,2)+4,,,"Voreinstellung_Übersicht"),TRUE))</f>
        <v>0.33333333333333331</v>
      </c>
      <c r="AA8" s="300">
        <f ca="1">IF(W8="",Übertrag_Mehrarbeit,Übertrag_Mehrarbeit+W8)</f>
        <v>0</v>
      </c>
      <c r="AB8" s="219">
        <f t="shared" ref="AB8:AB38" si="12">IF(AND($G8&lt;&gt;0,IF(ISERROR(VLOOKUP($G8,Code,1,FALSE)),FALSE,VLOOKUP($G8,Code,1,FALSE)="U"),$C8=1),1,0)</f>
        <v>0</v>
      </c>
      <c r="AC8" s="219">
        <f t="shared" ref="AC8:AC38" si="13">IF(AND($G8&lt;&gt;0,IF(ISERROR(VLOOKUP($G8,Code,1,FALSE)),FALSE,VLOOKUP($G8,Code,1,FALSE))="WB"),1,0)</f>
        <v>0</v>
      </c>
      <c r="AD8" s="219">
        <f t="shared" ref="AD8:AD38" si="14">IF(AND($G8&lt;&gt;0,IF(ISERROR(VLOOKUP($G8,Code,1,FALSE)),FALSE,VLOOKUP($G8,Code,1,FALSE))="DR",$C8=1),1,0)</f>
        <v>0</v>
      </c>
      <c r="AE8" s="219">
        <f t="shared" ref="AE8:AE38" si="15">IF(AND($G8&lt;&gt;0,IF(ISERROR(VLOOKUP($G8,Code,1,FALSE)),FALSE,VLOOKUP($G8,Code,1,FALSE))="KK",$C8=1),1,0)</f>
        <v>0</v>
      </c>
      <c r="AF8" s="219">
        <f t="shared" ref="AF8:AF38" si="16">IF(AND($G8&lt;&gt;0,IF(ISERROR(VLOOKUP($G8,Code,1,FALSE)),FALSE,VLOOKUP($G8,Code,1,FALSE))="K",$C8=1),1,0)</f>
        <v>0</v>
      </c>
      <c r="AG8" s="219">
        <f t="shared" ref="AG8:AG38" si="17">IF(AND($G8&lt;&gt;0,IF(ISERROR(VLOOKUP($G8,Code,1,FALSE)),FALSE,VLOOKUP($G8,Code,1,FALSE))="KZT"),1,0)</f>
        <v>0</v>
      </c>
      <c r="AH8" s="219">
        <f t="shared" ref="AH8:AH38" si="18">IF(AND($G8&lt;&gt;0,IF(ISERROR(VLOOKUP($G8,Code,1,FALSE)),FALSE,VLOOKUP($G8,Code,1,FALSE))="mEG",$C8=1),1,0)</f>
        <v>0</v>
      </c>
      <c r="AI8" s="219">
        <f t="shared" ref="AI8:AI38" si="19">IF(AND($G8&lt;&gt;0,IF(ISERROR(VLOOKUP($G8,Code,1,FALSE)),FALSE,VLOOKUP($G8,Code,1,FALSE))="Ku"),1,0)</f>
        <v>0</v>
      </c>
      <c r="AJ8" s="219">
        <f t="shared" ref="AJ8:AJ38" si="20">IF(AND($G8&lt;&gt;0,IF(ISERROR(VLOOKUP($G8,Code,1,FALSE)),FALSE,VLOOKUP($G8,Code,1,FALSE))="§29(1)",$C8=1),1,0)</f>
        <v>0</v>
      </c>
      <c r="AK8" s="219">
        <f t="shared" ref="AK8:AK38" si="21">IF(AND($G8&lt;&gt;0,IF(ISERROR(VLOOKUP($G8,Code,1,FALSE)),FALSE,VLOOKUP($G8,Code,1,FALSE))="§29(2)",$C8=1),1,0)</f>
        <v>0</v>
      </c>
      <c r="AL8" s="219">
        <f t="shared" ref="AL8:AL38" si="22">IF(AND($G8&lt;&gt;0,IF(ISERROR(VLOOKUP($G8,Code,1,FALSE)),FALSE,VLOOKUP($G8,Code,1,FALSE))="§29(3)",$C8=1),1,0)</f>
        <v>0</v>
      </c>
      <c r="AM8" s="219">
        <f t="shared" ref="AM8:AM38" si="23">IF(AND($G8&lt;&gt;0,IF(ISERROR(VLOOKUP($G8,Code,1,FALSE)),FALSE,VLOOKUP($G8,Code,1,FALSE))="§29(4)",$C8=1),1,0)</f>
        <v>0</v>
      </c>
      <c r="AN8" s="301">
        <f t="shared" ref="AN8:AN38" si="24">IF(OR(AND(H8&lt;Nacht_6,I8-K8&lt;=Nacht_6),AND(I8&gt;Nacht_22,H8+K8&gt;=Nacht_22)),I8-H8-K8,IF(H8&lt;Nacht_6,IF(I8&gt;Nacht_22,Nacht_6-H8+I8-Nacht_22,Nacht_6-H8),IF(I8&gt;Nacht_22,I8-Nacht_22,0)))</f>
        <v>0</v>
      </c>
      <c r="AO8" s="301">
        <f t="shared" ref="AO8:AO38" si="25">IF(OR(AND(M8&lt;Nacht_6,N8-P8&lt;=Nacht_6),AND(N8&gt;Nacht_22,M8+P8&gt;=Nacht_22)),N8-M8-P8,IF(M8&lt;Nacht_6,IF(N8&gt;Nacht_22,Nacht_6-M8+N8-Nacht_22,Nacht_6-M8),IF(N8&gt;Nacht_22,N8-Nacht_22,0)))</f>
        <v>0</v>
      </c>
      <c r="AP8" s="301">
        <f t="shared" ref="AP8:AP38" si="26">IF(ISERROR(VLOOKUP(B8,Feiertage_ganz,3,FALSE)),0,IF(VLOOKUP(B8,Feiertage_ganz,3,FALSE)=1,U8,0))</f>
        <v>0</v>
      </c>
      <c r="AQ8" s="301">
        <f t="shared" ref="AQ8:AQ38" si="27">IF(OR(I8&lt;=Samstagszuschlag,H8&gt;=Nacht_22),0,IF(H8&lt;=Samstagszuschlag,IF(I8&lt;=Nacht_22,I8-Samstagszuschlag,Nacht_22-Samstagszuschlag),IF(I8&lt;=Nacht_22,I8-H8,Nacht_22-H8)))</f>
        <v>0</v>
      </c>
      <c r="AR8" s="301">
        <f t="shared" ref="AR8:AR38" si="28">IF(OR(N8&lt;=Samstagszuschlag,M8&lt;=Nacht_22),0,IF(M8&lt;=Samstagszuschlag,IF(N8&lt;=Nacht_22,N8-Samstagszuschlag,Nacht_22-Samstagszuschlag),IF(N8&lt;=Nacht_22,N8-M8,Nacht_22-M8)))</f>
        <v>0</v>
      </c>
      <c r="AS8" s="301">
        <f t="shared" ref="AS8:AS38" si="29">IF(WEEKDAY(B8,2)=7,U8,0)</f>
        <v>0</v>
      </c>
      <c r="AT8" s="302">
        <f t="shared" ref="AT8:AT38" si="30">IF(ISERROR(VLOOKUP(G8,Code_Liste,1,FALSE)),0,I8-H8)</f>
        <v>0</v>
      </c>
      <c r="AU8" s="302">
        <f t="shared" ref="AU8:AU38" si="31">IF(ISERROR(VLOOKUP(G8,Code_Liste,1,FALSE)),0,N8-M8)</f>
        <v>0</v>
      </c>
      <c r="AV8" s="81">
        <f t="shared" ref="AV8:AV38" si="32">SUM(AN8:AO8)</f>
        <v>0</v>
      </c>
      <c r="AW8" s="82">
        <f t="shared" ref="AW8:AW38" si="33">AV8*Zuschlag_Nacht/100</f>
        <v>0</v>
      </c>
      <c r="AX8" s="81">
        <f t="shared" ref="AX8:AX38" si="34">IF(WEEKDAY(B8,2)=6,AQ8+AR8,0)</f>
        <v>0</v>
      </c>
      <c r="AY8" s="83">
        <f t="shared" ref="AY8:AY38" si="35">AS8</f>
        <v>0</v>
      </c>
      <c r="AZ8" s="83">
        <f t="shared" ref="AZ8:AZ38" si="36">AP8</f>
        <v>0</v>
      </c>
      <c r="BA8" s="82">
        <f>IF(OR(B8=Feiertage!$A$16,B8=Feiertage!$A$19),U8*Zuschläge_24_31/100,IF(AZ8&gt;0,AZ8*Feiertag_mit/100,IF(AX8&gt;0,AX8*Zuschläge_Sa/100,IF(AY8&gt;0,AY8*Zuschlag_So/100,0))))</f>
        <v>0</v>
      </c>
      <c r="BB8" s="82">
        <f>IF(AND(B8&lt;&gt;0,G8=Voreinstellung_Übersicht!$D$41),IF(EG=1,W8*Über_klein/100,IF(EG=2,W8*Über_groß/100,"Fehler")),0)</f>
        <v>0</v>
      </c>
      <c r="BC8" s="299">
        <f ca="1">Sep!BC39</f>
        <v>0</v>
      </c>
      <c r="BD8" s="219">
        <f t="shared" ref="BD8:BD38" ca="1" si="37">IF(OR(AND(BC8&gt;=0,BC8&lt;=(grün_plus*BE8/100%)),AND(BC8&lt;=0,BC8&gt;=(grün_minus*BE8/100%))),1,IF(OR(AND(BC8&gt;0,BC8&lt;=(gelb_plus*BE8/100%)),AND(BC8&lt;0,BC8&gt;=(gelb_minus*BE8/100%))),2,3))</f>
        <v>1</v>
      </c>
      <c r="BE8" s="303">
        <f ca="1">IF(B8="","",INDIRECT(ADDRESS(MATCH(B8,Soll_AZ,1)+MATCH("Arbeitszeit 1 ab",Voreinstellung_Übersicht!B:B,0)-1,4,,,"Voreinstellung_Übersicht"),TRUE))</f>
        <v>1.6666666666666665</v>
      </c>
      <c r="BF8" s="1">
        <f>IF(OR(G8="WB",G8="DR",U8&gt;0),1,0)</f>
        <v>0</v>
      </c>
    </row>
    <row r="9" spans="1:58" s="1" customFormat="1" ht="15" x14ac:dyDescent="0.3">
      <c r="A9" s="218">
        <f t="shared" si="0"/>
        <v>40</v>
      </c>
      <c r="B9" s="47">
        <f t="shared" ref="B9:B38" si="38">B8+1</f>
        <v>42278</v>
      </c>
      <c r="C9" s="219">
        <f t="shared" si="1"/>
        <v>1</v>
      </c>
      <c r="D9" s="220" t="str">
        <f t="shared" si="2"/>
        <v/>
      </c>
      <c r="E9" s="298" t="str">
        <f t="shared" si="3"/>
        <v/>
      </c>
      <c r="F9" s="87">
        <f t="shared" si="4"/>
        <v>42278</v>
      </c>
      <c r="G9" s="147"/>
      <c r="H9" s="74"/>
      <c r="I9" s="75"/>
      <c r="J9" s="221">
        <f t="shared" si="5"/>
        <v>0</v>
      </c>
      <c r="K9" s="76"/>
      <c r="L9" s="221">
        <f>IF(J9-K9&gt;Pause_9,Pause_9p,IF(J9-K9&gt;Pause_6,Pause_6p,0))</f>
        <v>0</v>
      </c>
      <c r="M9" s="74"/>
      <c r="N9" s="75"/>
      <c r="O9" s="221">
        <f t="shared" si="6"/>
        <v>0</v>
      </c>
      <c r="P9" s="76"/>
      <c r="Q9" s="221">
        <f>IF(O9-P9&gt;Pause_9,Pause_9p,IF(O9-P9&gt;Pause_6,Pause_6p,0))</f>
        <v>0</v>
      </c>
      <c r="R9" s="221">
        <f>IF(J9+O9-K9-P9&gt;Pause_9,Pause_9p,IF(J9+O9-K9-P9&gt;Pause_6,Pause_6p,0))</f>
        <v>0</v>
      </c>
      <c r="S9" s="221">
        <f t="shared" si="7"/>
        <v>0</v>
      </c>
      <c r="T9" s="79">
        <f t="shared" si="8"/>
        <v>0</v>
      </c>
      <c r="U9" s="79">
        <f t="shared" ref="U9:U38" si="39">ROUND(T9-S9,10)</f>
        <v>0</v>
      </c>
      <c r="V9" s="80">
        <f t="shared" ca="1" si="9"/>
        <v>0.33333333329999998</v>
      </c>
      <c r="W9" s="249" t="str">
        <f t="shared" ca="1" si="10"/>
        <v/>
      </c>
      <c r="X9" s="293"/>
      <c r="Y9" s="221">
        <f t="shared" si="11"/>
        <v>0</v>
      </c>
      <c r="Z9" s="299">
        <f ca="1">IF(B9="","",INDIRECT(ADDRESS(MATCH(B9,Soll_AZ,1)+MATCH("Arbeitszeit 1 ab",Voreinstellung_Übersicht!B:B,0)-1,WEEKDAY(B9,2)+4,,,"Voreinstellung_Übersicht"),TRUE))</f>
        <v>0.33333333333333331</v>
      </c>
      <c r="AA9" s="300">
        <f t="shared" ref="AA9:AA38" ca="1" si="40">IF(W9="",AA8,AA8+W9)</f>
        <v>0</v>
      </c>
      <c r="AB9" s="219">
        <f t="shared" si="12"/>
        <v>0</v>
      </c>
      <c r="AC9" s="219">
        <f t="shared" si="13"/>
        <v>0</v>
      </c>
      <c r="AD9" s="219">
        <f t="shared" si="14"/>
        <v>0</v>
      </c>
      <c r="AE9" s="219">
        <f t="shared" si="15"/>
        <v>0</v>
      </c>
      <c r="AF9" s="219">
        <f t="shared" si="16"/>
        <v>0</v>
      </c>
      <c r="AG9" s="219">
        <f t="shared" si="17"/>
        <v>0</v>
      </c>
      <c r="AH9" s="219">
        <f t="shared" si="18"/>
        <v>0</v>
      </c>
      <c r="AI9" s="219">
        <f t="shared" si="19"/>
        <v>0</v>
      </c>
      <c r="AJ9" s="219">
        <f t="shared" si="20"/>
        <v>0</v>
      </c>
      <c r="AK9" s="219">
        <f t="shared" si="21"/>
        <v>0</v>
      </c>
      <c r="AL9" s="219">
        <f t="shared" si="22"/>
        <v>0</v>
      </c>
      <c r="AM9" s="219">
        <f t="shared" si="23"/>
        <v>0</v>
      </c>
      <c r="AN9" s="301">
        <f t="shared" si="24"/>
        <v>0</v>
      </c>
      <c r="AO9" s="301">
        <f t="shared" si="25"/>
        <v>0</v>
      </c>
      <c r="AP9" s="301">
        <f t="shared" si="26"/>
        <v>0</v>
      </c>
      <c r="AQ9" s="301">
        <f t="shared" si="27"/>
        <v>0</v>
      </c>
      <c r="AR9" s="301">
        <f t="shared" si="28"/>
        <v>0</v>
      </c>
      <c r="AS9" s="301">
        <f t="shared" si="29"/>
        <v>0</v>
      </c>
      <c r="AT9" s="302">
        <f t="shared" si="30"/>
        <v>0</v>
      </c>
      <c r="AU9" s="302">
        <f t="shared" si="31"/>
        <v>0</v>
      </c>
      <c r="AV9" s="81">
        <f t="shared" si="32"/>
        <v>0</v>
      </c>
      <c r="AW9" s="82">
        <f t="shared" si="33"/>
        <v>0</v>
      </c>
      <c r="AX9" s="81">
        <f t="shared" si="34"/>
        <v>0</v>
      </c>
      <c r="AY9" s="83">
        <f t="shared" si="35"/>
        <v>0</v>
      </c>
      <c r="AZ9" s="83">
        <f t="shared" si="36"/>
        <v>0</v>
      </c>
      <c r="BA9" s="82">
        <f>IF(OR(B9=Feiertage!$A$16,B9=Feiertage!$A$19),U9*Zuschläge_24_31/100,IF(AZ9&gt;0,AZ9*Feiertag_mit/100,IF(AX9&gt;0,AX9*Zuschläge_Sa/100,IF(AY9&gt;0,AY9*Zuschlag_So/100,0))))</f>
        <v>0</v>
      </c>
      <c r="BB9" s="82">
        <f>IF(AND(B9&lt;&gt;0,G9=Voreinstellung_Übersicht!$D$41),IF(EG=1,W9*Über_klein/100,IF(EG=2,W9*Über_groß/100,"Fehler")),0)</f>
        <v>0</v>
      </c>
      <c r="BC9" s="299">
        <f t="shared" ref="BC9:BC38" ca="1" si="41">IF(W9="",BC8,BC8+W9)</f>
        <v>0</v>
      </c>
      <c r="BD9" s="219">
        <f t="shared" ca="1" si="37"/>
        <v>1</v>
      </c>
      <c r="BE9" s="303">
        <f ca="1">IF(B9="","",INDIRECT(ADDRESS(MATCH(B9,Soll_AZ,1)+MATCH("Arbeitszeit 1 ab",Voreinstellung_Übersicht!B:B,0)-1,4,,,"Voreinstellung_Übersicht"),TRUE))</f>
        <v>1.6666666666666665</v>
      </c>
      <c r="BF9" s="1">
        <f t="shared" ref="BF9:BF38" si="42">IF(OR(G9="WB",G9="DR",U9&gt;0),1,0)</f>
        <v>0</v>
      </c>
    </row>
    <row r="10" spans="1:58" s="1" customFormat="1" ht="45" x14ac:dyDescent="0.3">
      <c r="A10" s="218">
        <f t="shared" si="0"/>
        <v>40</v>
      </c>
      <c r="B10" s="47">
        <f t="shared" si="38"/>
        <v>42279</v>
      </c>
      <c r="C10" s="219">
        <f t="shared" si="1"/>
        <v>0</v>
      </c>
      <c r="D10" s="220" t="str">
        <f t="shared" si="2"/>
        <v>Tag der Deutschen Einheit</v>
      </c>
      <c r="E10" s="298" t="str">
        <f t="shared" si="3"/>
        <v>Tag der Deutschen Einheit</v>
      </c>
      <c r="F10" s="87">
        <f t="shared" si="4"/>
        <v>42279</v>
      </c>
      <c r="G10" s="147"/>
      <c r="H10" s="74"/>
      <c r="I10" s="75"/>
      <c r="J10" s="221">
        <f t="shared" si="5"/>
        <v>0</v>
      </c>
      <c r="K10" s="76"/>
      <c r="L10" s="221">
        <f>IF(J10-K10&gt;=Pause_9,Pause_9p,IF(J10-K10&gt;=Pause_6,Pause_6p,0))</f>
        <v>0</v>
      </c>
      <c r="M10" s="74"/>
      <c r="N10" s="75"/>
      <c r="O10" s="221">
        <f t="shared" si="6"/>
        <v>0</v>
      </c>
      <c r="P10" s="76"/>
      <c r="Q10" s="221">
        <f>IF(O10-P10&gt;Pause_9,Pause_9p,IF(O10-P10&gt;Pause_6,Pause_6p,0))</f>
        <v>0</v>
      </c>
      <c r="R10" s="221">
        <f>IF(J10+O10-K10-P10&gt;Pause_9,Pause_9p,IF(J10+O10-K10-P10&gt;Pause_6,Pause_6p,0))</f>
        <v>0</v>
      </c>
      <c r="S10" s="221">
        <f t="shared" si="7"/>
        <v>0</v>
      </c>
      <c r="T10" s="79">
        <f t="shared" si="8"/>
        <v>0</v>
      </c>
      <c r="U10" s="79">
        <f t="shared" si="39"/>
        <v>0</v>
      </c>
      <c r="V10" s="80">
        <f t="shared" si="9"/>
        <v>0</v>
      </c>
      <c r="W10" s="249" t="str">
        <f t="shared" si="10"/>
        <v/>
      </c>
      <c r="X10" s="293"/>
      <c r="Y10" s="221">
        <f t="shared" si="11"/>
        <v>0</v>
      </c>
      <c r="Z10" s="299">
        <f ca="1">IF(B10="","",INDIRECT(ADDRESS(MATCH(B10,Soll_AZ,1)+MATCH("Arbeitszeit 1 ab",Voreinstellung_Übersicht!B:B,0)-1,WEEKDAY(B10,2)+4,,,"Voreinstellung_Übersicht"),TRUE))</f>
        <v>0.33333333333333331</v>
      </c>
      <c r="AA10" s="300">
        <f t="shared" ca="1" si="40"/>
        <v>0</v>
      </c>
      <c r="AB10" s="219">
        <f t="shared" si="12"/>
        <v>0</v>
      </c>
      <c r="AC10" s="219">
        <f t="shared" si="13"/>
        <v>0</v>
      </c>
      <c r="AD10" s="219">
        <f t="shared" si="14"/>
        <v>0</v>
      </c>
      <c r="AE10" s="219">
        <f t="shared" si="15"/>
        <v>0</v>
      </c>
      <c r="AF10" s="219">
        <f t="shared" si="16"/>
        <v>0</v>
      </c>
      <c r="AG10" s="219">
        <f t="shared" si="17"/>
        <v>0</v>
      </c>
      <c r="AH10" s="219">
        <f t="shared" si="18"/>
        <v>0</v>
      </c>
      <c r="AI10" s="219">
        <f t="shared" si="19"/>
        <v>0</v>
      </c>
      <c r="AJ10" s="219">
        <f t="shared" si="20"/>
        <v>0</v>
      </c>
      <c r="AK10" s="219">
        <f t="shared" si="21"/>
        <v>0</v>
      </c>
      <c r="AL10" s="219">
        <f t="shared" si="22"/>
        <v>0</v>
      </c>
      <c r="AM10" s="219">
        <f t="shared" si="23"/>
        <v>0</v>
      </c>
      <c r="AN10" s="301">
        <f t="shared" si="24"/>
        <v>0</v>
      </c>
      <c r="AO10" s="301">
        <f t="shared" si="25"/>
        <v>0</v>
      </c>
      <c r="AP10" s="301">
        <f t="shared" si="26"/>
        <v>0</v>
      </c>
      <c r="AQ10" s="301">
        <f t="shared" si="27"/>
        <v>0</v>
      </c>
      <c r="AR10" s="301">
        <f t="shared" si="28"/>
        <v>0</v>
      </c>
      <c r="AS10" s="301">
        <f t="shared" si="29"/>
        <v>0</v>
      </c>
      <c r="AT10" s="302">
        <f t="shared" si="30"/>
        <v>0</v>
      </c>
      <c r="AU10" s="302">
        <f t="shared" si="31"/>
        <v>0</v>
      </c>
      <c r="AV10" s="81">
        <f t="shared" si="32"/>
        <v>0</v>
      </c>
      <c r="AW10" s="82">
        <f t="shared" si="33"/>
        <v>0</v>
      </c>
      <c r="AX10" s="81">
        <f t="shared" si="34"/>
        <v>0</v>
      </c>
      <c r="AY10" s="83">
        <f t="shared" si="35"/>
        <v>0</v>
      </c>
      <c r="AZ10" s="83">
        <f t="shared" si="36"/>
        <v>0</v>
      </c>
      <c r="BA10" s="82">
        <f>IF(OR(B10=Feiertage!$A$16,B10=Feiertage!$A$19),U10*Zuschläge_24_31/100,IF(AZ10&gt;0,AZ10*Feiertag_mit/100,IF(AX10&gt;0,AX10*Zuschläge_Sa/100,IF(AY10&gt;0,AY10*Zuschlag_So/100,0))))</f>
        <v>0</v>
      </c>
      <c r="BB10" s="82">
        <f>IF(AND(B10&lt;&gt;0,G10=Voreinstellung_Übersicht!$D$41),IF(EG=1,W10*Über_klein/100,IF(EG=2,W10*Über_groß/100,"Fehler")),0)</f>
        <v>0</v>
      </c>
      <c r="BC10" s="299">
        <f t="shared" ca="1" si="41"/>
        <v>0</v>
      </c>
      <c r="BD10" s="219">
        <f t="shared" ca="1" si="37"/>
        <v>1</v>
      </c>
      <c r="BE10" s="303">
        <f ca="1">IF(B10="","",INDIRECT(ADDRESS(MATCH(B10,Soll_AZ,1)+MATCH("Arbeitszeit 1 ab",Voreinstellung_Übersicht!B:B,0)-1,4,,,"Voreinstellung_Übersicht"),TRUE))</f>
        <v>1.6666666666666665</v>
      </c>
      <c r="BF10" s="1">
        <f t="shared" si="42"/>
        <v>0</v>
      </c>
    </row>
    <row r="11" spans="1:58" s="1" customFormat="1" ht="15" x14ac:dyDescent="0.3">
      <c r="A11" s="218">
        <f t="shared" si="0"/>
        <v>40</v>
      </c>
      <c r="B11" s="47">
        <f t="shared" si="38"/>
        <v>42280</v>
      </c>
      <c r="C11" s="219">
        <f t="shared" si="1"/>
        <v>1</v>
      </c>
      <c r="D11" s="220" t="str">
        <f t="shared" si="2"/>
        <v/>
      </c>
      <c r="E11" s="298" t="str">
        <f t="shared" si="3"/>
        <v/>
      </c>
      <c r="F11" s="87">
        <f t="shared" si="4"/>
        <v>42280</v>
      </c>
      <c r="G11" s="147"/>
      <c r="H11" s="74"/>
      <c r="I11" s="75"/>
      <c r="J11" s="221">
        <f t="shared" si="5"/>
        <v>0</v>
      </c>
      <c r="K11" s="76"/>
      <c r="L11" s="221">
        <f>IF(J11-K11&gt;=Pause_9,Pause_9p,IF(J11-K11&gt;=Pause_6,Pause_6p,0))</f>
        <v>0</v>
      </c>
      <c r="M11" s="74"/>
      <c r="N11" s="75"/>
      <c r="O11" s="221">
        <f t="shared" si="6"/>
        <v>0</v>
      </c>
      <c r="P11" s="76"/>
      <c r="Q11" s="221">
        <f>IF(O11-P11&gt;Pause_9,Pause_9p,IF(O11-P11&gt;Pause_6,Pause_6p,0))</f>
        <v>0</v>
      </c>
      <c r="R11" s="221">
        <f>IF(J11+O11-K11-P11&gt;Pause_9,Pause_9p,IF(J11+O11-K11-P11&gt;Pause_6,Pause_6p,0))</f>
        <v>0</v>
      </c>
      <c r="S11" s="221">
        <f t="shared" si="7"/>
        <v>0</v>
      </c>
      <c r="T11" s="79">
        <f t="shared" si="8"/>
        <v>0</v>
      </c>
      <c r="U11" s="79">
        <f t="shared" si="39"/>
        <v>0</v>
      </c>
      <c r="V11" s="80">
        <f t="shared" ca="1" si="9"/>
        <v>0.33333333329999998</v>
      </c>
      <c r="W11" s="249" t="str">
        <f t="shared" ca="1" si="10"/>
        <v/>
      </c>
      <c r="X11" s="293"/>
      <c r="Y11" s="221">
        <f t="shared" si="11"/>
        <v>0</v>
      </c>
      <c r="Z11" s="299">
        <f ca="1">IF(B11="","",INDIRECT(ADDRESS(MATCH(B11,Soll_AZ,1)+MATCH("Arbeitszeit 1 ab",Voreinstellung_Übersicht!B:B,0)-1,WEEKDAY(B11,2)+4,,,"Voreinstellung_Übersicht"),TRUE))</f>
        <v>0.33333333333333331</v>
      </c>
      <c r="AA11" s="300">
        <f t="shared" ca="1" si="40"/>
        <v>0</v>
      </c>
      <c r="AB11" s="219">
        <f t="shared" si="12"/>
        <v>0</v>
      </c>
      <c r="AC11" s="219">
        <f t="shared" si="13"/>
        <v>0</v>
      </c>
      <c r="AD11" s="219">
        <f t="shared" si="14"/>
        <v>0</v>
      </c>
      <c r="AE11" s="219">
        <f t="shared" si="15"/>
        <v>0</v>
      </c>
      <c r="AF11" s="219">
        <f t="shared" si="16"/>
        <v>0</v>
      </c>
      <c r="AG11" s="219">
        <f t="shared" si="17"/>
        <v>0</v>
      </c>
      <c r="AH11" s="219">
        <f t="shared" si="18"/>
        <v>0</v>
      </c>
      <c r="AI11" s="219">
        <f t="shared" si="19"/>
        <v>0</v>
      </c>
      <c r="AJ11" s="219">
        <f t="shared" si="20"/>
        <v>0</v>
      </c>
      <c r="AK11" s="219">
        <f t="shared" si="21"/>
        <v>0</v>
      </c>
      <c r="AL11" s="219">
        <f t="shared" si="22"/>
        <v>0</v>
      </c>
      <c r="AM11" s="219">
        <f t="shared" si="23"/>
        <v>0</v>
      </c>
      <c r="AN11" s="301">
        <f t="shared" si="24"/>
        <v>0</v>
      </c>
      <c r="AO11" s="301">
        <f t="shared" si="25"/>
        <v>0</v>
      </c>
      <c r="AP11" s="301">
        <f t="shared" si="26"/>
        <v>0</v>
      </c>
      <c r="AQ11" s="301">
        <f t="shared" si="27"/>
        <v>0</v>
      </c>
      <c r="AR11" s="301">
        <f t="shared" si="28"/>
        <v>0</v>
      </c>
      <c r="AS11" s="301">
        <f t="shared" si="29"/>
        <v>0</v>
      </c>
      <c r="AT11" s="302">
        <f t="shared" si="30"/>
        <v>0</v>
      </c>
      <c r="AU11" s="302">
        <f t="shared" si="31"/>
        <v>0</v>
      </c>
      <c r="AV11" s="81">
        <f t="shared" si="32"/>
        <v>0</v>
      </c>
      <c r="AW11" s="82">
        <f t="shared" si="33"/>
        <v>0</v>
      </c>
      <c r="AX11" s="81">
        <f t="shared" si="34"/>
        <v>0</v>
      </c>
      <c r="AY11" s="83">
        <f t="shared" si="35"/>
        <v>0</v>
      </c>
      <c r="AZ11" s="83">
        <f t="shared" si="36"/>
        <v>0</v>
      </c>
      <c r="BA11" s="82">
        <f>IF(OR(B11=Feiertage!$A$16,B11=Feiertage!$A$19),U11*Zuschläge_24_31/100,IF(AZ11&gt;0,AZ11*Feiertag_mit/100,IF(AX11&gt;0,AX11*Zuschläge_Sa/100,IF(AY11&gt;0,AY11*Zuschlag_So/100,0))))</f>
        <v>0</v>
      </c>
      <c r="BB11" s="82">
        <f>IF(AND(B11&lt;&gt;0,G11=Voreinstellung_Übersicht!$D$41),IF(EG=1,W11*Über_klein/100,IF(EG=2,W11*Über_groß/100,"Fehler")),0)</f>
        <v>0</v>
      </c>
      <c r="BC11" s="299">
        <f t="shared" ca="1" si="41"/>
        <v>0</v>
      </c>
      <c r="BD11" s="219">
        <f t="shared" ca="1" si="37"/>
        <v>1</v>
      </c>
      <c r="BE11" s="303">
        <f ca="1">IF(B11="","",INDIRECT(ADDRESS(MATCH(B11,Soll_AZ,1)+MATCH("Arbeitszeit 1 ab",Voreinstellung_Übersicht!B:B,0)-1,4,,,"Voreinstellung_Übersicht"),TRUE))</f>
        <v>1.6666666666666665</v>
      </c>
      <c r="BF11" s="1">
        <f t="shared" si="42"/>
        <v>0</v>
      </c>
    </row>
    <row r="12" spans="1:58" s="1" customFormat="1" ht="15" x14ac:dyDescent="0.3">
      <c r="A12" s="218">
        <f t="shared" si="0"/>
        <v>40</v>
      </c>
      <c r="B12" s="47">
        <f t="shared" si="38"/>
        <v>42281</v>
      </c>
      <c r="C12" s="219">
        <f t="shared" si="1"/>
        <v>0</v>
      </c>
      <c r="D12" s="220" t="str">
        <f t="shared" si="2"/>
        <v/>
      </c>
      <c r="E12" s="298" t="str">
        <f t="shared" si="3"/>
        <v/>
      </c>
      <c r="F12" s="87">
        <f t="shared" si="4"/>
        <v>42281</v>
      </c>
      <c r="G12" s="147"/>
      <c r="H12" s="74"/>
      <c r="I12" s="75"/>
      <c r="J12" s="221">
        <f t="shared" si="5"/>
        <v>0</v>
      </c>
      <c r="K12" s="76"/>
      <c r="L12" s="221">
        <f t="shared" ref="L12:L38" si="43">IF(J12&gt;=Pause_9,Pause_9p,IF(J12&gt;=Pause_6,Pause_6p,0))</f>
        <v>0</v>
      </c>
      <c r="M12" s="74"/>
      <c r="N12" s="75"/>
      <c r="O12" s="221">
        <f t="shared" si="6"/>
        <v>0</v>
      </c>
      <c r="P12" s="76"/>
      <c r="Q12" s="221">
        <f t="shared" ref="Q12:Q38" si="44">IF(O12&gt;Pause_9,Pause_9p,IF(O12&gt;=Pause_6,Pause_6p,0))</f>
        <v>0</v>
      </c>
      <c r="R12" s="221">
        <f t="shared" ref="R12:R38" si="45">IF(J12+O12&gt;=Pause_9,Pause_9p,IF(J12+O12&gt;=Pause_6,Pause_6p,0))</f>
        <v>0</v>
      </c>
      <c r="S12" s="221">
        <f t="shared" si="7"/>
        <v>0</v>
      </c>
      <c r="T12" s="79">
        <f t="shared" si="8"/>
        <v>0</v>
      </c>
      <c r="U12" s="79">
        <f t="shared" si="39"/>
        <v>0</v>
      </c>
      <c r="V12" s="80">
        <f t="shared" ca="1" si="9"/>
        <v>0</v>
      </c>
      <c r="W12" s="249" t="str">
        <f t="shared" ca="1" si="10"/>
        <v/>
      </c>
      <c r="X12" s="293"/>
      <c r="Y12" s="221">
        <f t="shared" si="11"/>
        <v>0</v>
      </c>
      <c r="Z12" s="299">
        <f ca="1">IF(B12="","",INDIRECT(ADDRESS(MATCH(B12,Soll_AZ,1)+MATCH("Arbeitszeit 1 ab",Voreinstellung_Übersicht!B:B,0)-1,WEEKDAY(B12,2)+4,,,"Voreinstellung_Übersicht"),TRUE))</f>
        <v>0</v>
      </c>
      <c r="AA12" s="300">
        <f t="shared" ca="1" si="40"/>
        <v>0</v>
      </c>
      <c r="AB12" s="219">
        <f t="shared" si="12"/>
        <v>0</v>
      </c>
      <c r="AC12" s="219">
        <f t="shared" si="13"/>
        <v>0</v>
      </c>
      <c r="AD12" s="219">
        <f t="shared" si="14"/>
        <v>0</v>
      </c>
      <c r="AE12" s="219">
        <f t="shared" si="15"/>
        <v>0</v>
      </c>
      <c r="AF12" s="219">
        <f t="shared" si="16"/>
        <v>0</v>
      </c>
      <c r="AG12" s="219">
        <f t="shared" si="17"/>
        <v>0</v>
      </c>
      <c r="AH12" s="219">
        <f t="shared" si="18"/>
        <v>0</v>
      </c>
      <c r="AI12" s="219">
        <f t="shared" si="19"/>
        <v>0</v>
      </c>
      <c r="AJ12" s="219">
        <f t="shared" si="20"/>
        <v>0</v>
      </c>
      <c r="AK12" s="219">
        <f t="shared" si="21"/>
        <v>0</v>
      </c>
      <c r="AL12" s="219">
        <f t="shared" si="22"/>
        <v>0</v>
      </c>
      <c r="AM12" s="219">
        <f t="shared" si="23"/>
        <v>0</v>
      </c>
      <c r="AN12" s="301">
        <f t="shared" si="24"/>
        <v>0</v>
      </c>
      <c r="AO12" s="301">
        <f t="shared" si="25"/>
        <v>0</v>
      </c>
      <c r="AP12" s="301">
        <f t="shared" si="26"/>
        <v>0</v>
      </c>
      <c r="AQ12" s="301">
        <f t="shared" si="27"/>
        <v>0</v>
      </c>
      <c r="AR12" s="301">
        <f t="shared" si="28"/>
        <v>0</v>
      </c>
      <c r="AS12" s="301">
        <f t="shared" si="29"/>
        <v>0</v>
      </c>
      <c r="AT12" s="302">
        <f t="shared" si="30"/>
        <v>0</v>
      </c>
      <c r="AU12" s="302">
        <f t="shared" si="31"/>
        <v>0</v>
      </c>
      <c r="AV12" s="81">
        <f t="shared" si="32"/>
        <v>0</v>
      </c>
      <c r="AW12" s="82">
        <f t="shared" si="33"/>
        <v>0</v>
      </c>
      <c r="AX12" s="81">
        <f t="shared" si="34"/>
        <v>0</v>
      </c>
      <c r="AY12" s="83">
        <f t="shared" si="35"/>
        <v>0</v>
      </c>
      <c r="AZ12" s="83">
        <f t="shared" si="36"/>
        <v>0</v>
      </c>
      <c r="BA12" s="82">
        <f>IF(OR(B12=Feiertage!$A$16,B12=Feiertage!$A$19),U12*Zuschläge_24_31/100,IF(AZ12&gt;0,AZ12*Feiertag_mit/100,IF(AX12&gt;0,AX12*Zuschläge_Sa/100,IF(AY12&gt;0,AY12*Zuschlag_So/100,0))))</f>
        <v>0</v>
      </c>
      <c r="BB12" s="82">
        <f>IF(AND(B12&lt;&gt;0,G12=Voreinstellung_Übersicht!$D$41),IF(EG=1,W12*Über_klein/100,IF(EG=2,W12*Über_groß/100,"Fehler")),0)</f>
        <v>0</v>
      </c>
      <c r="BC12" s="299">
        <f t="shared" ca="1" si="41"/>
        <v>0</v>
      </c>
      <c r="BD12" s="219">
        <f t="shared" ca="1" si="37"/>
        <v>1</v>
      </c>
      <c r="BE12" s="303">
        <f ca="1">IF(B12="","",INDIRECT(ADDRESS(MATCH(B12,Soll_AZ,1)+MATCH("Arbeitszeit 1 ab",Voreinstellung_Übersicht!B:B,0)-1,4,,,"Voreinstellung_Übersicht"),TRUE))</f>
        <v>1.6666666666666665</v>
      </c>
      <c r="BF12" s="1">
        <f t="shared" si="42"/>
        <v>0</v>
      </c>
    </row>
    <row r="13" spans="1:58" s="1" customFormat="1" ht="15" x14ac:dyDescent="0.3">
      <c r="A13" s="218">
        <f t="shared" si="0"/>
        <v>41</v>
      </c>
      <c r="B13" s="47">
        <f t="shared" si="38"/>
        <v>42282</v>
      </c>
      <c r="C13" s="219">
        <f t="shared" si="1"/>
        <v>0</v>
      </c>
      <c r="D13" s="220" t="str">
        <f t="shared" si="2"/>
        <v/>
      </c>
      <c r="E13" s="298" t="str">
        <f t="shared" si="3"/>
        <v/>
      </c>
      <c r="F13" s="87">
        <f t="shared" si="4"/>
        <v>42282</v>
      </c>
      <c r="G13" s="147"/>
      <c r="H13" s="74"/>
      <c r="I13" s="75"/>
      <c r="J13" s="221">
        <f t="shared" si="5"/>
        <v>0</v>
      </c>
      <c r="K13" s="76"/>
      <c r="L13" s="221">
        <f t="shared" si="43"/>
        <v>0</v>
      </c>
      <c r="M13" s="74"/>
      <c r="N13" s="75"/>
      <c r="O13" s="221">
        <f t="shared" si="6"/>
        <v>0</v>
      </c>
      <c r="P13" s="76"/>
      <c r="Q13" s="221">
        <f t="shared" si="44"/>
        <v>0</v>
      </c>
      <c r="R13" s="221">
        <f t="shared" si="45"/>
        <v>0</v>
      </c>
      <c r="S13" s="221">
        <f t="shared" si="7"/>
        <v>0</v>
      </c>
      <c r="T13" s="79">
        <f t="shared" si="8"/>
        <v>0</v>
      </c>
      <c r="U13" s="79">
        <f t="shared" si="39"/>
        <v>0</v>
      </c>
      <c r="V13" s="80">
        <f t="shared" ca="1" si="9"/>
        <v>0</v>
      </c>
      <c r="W13" s="249" t="str">
        <f t="shared" ca="1" si="10"/>
        <v/>
      </c>
      <c r="X13" s="293"/>
      <c r="Y13" s="221">
        <f t="shared" si="11"/>
        <v>0</v>
      </c>
      <c r="Z13" s="299">
        <f ca="1">IF(B13="","",INDIRECT(ADDRESS(MATCH(B13,Soll_AZ,1)+MATCH("Arbeitszeit 1 ab",Voreinstellung_Übersicht!B:B,0)-1,WEEKDAY(B13,2)+4,,,"Voreinstellung_Übersicht"),TRUE))</f>
        <v>0</v>
      </c>
      <c r="AA13" s="300">
        <f t="shared" ca="1" si="40"/>
        <v>0</v>
      </c>
      <c r="AB13" s="219">
        <f t="shared" si="12"/>
        <v>0</v>
      </c>
      <c r="AC13" s="219">
        <f t="shared" si="13"/>
        <v>0</v>
      </c>
      <c r="AD13" s="219">
        <f t="shared" si="14"/>
        <v>0</v>
      </c>
      <c r="AE13" s="219">
        <f t="shared" si="15"/>
        <v>0</v>
      </c>
      <c r="AF13" s="219">
        <f t="shared" si="16"/>
        <v>0</v>
      </c>
      <c r="AG13" s="219">
        <f t="shared" si="17"/>
        <v>0</v>
      </c>
      <c r="AH13" s="219">
        <f t="shared" si="18"/>
        <v>0</v>
      </c>
      <c r="AI13" s="219">
        <f t="shared" si="19"/>
        <v>0</v>
      </c>
      <c r="AJ13" s="219">
        <f t="shared" si="20"/>
        <v>0</v>
      </c>
      <c r="AK13" s="219">
        <f t="shared" si="21"/>
        <v>0</v>
      </c>
      <c r="AL13" s="219">
        <f t="shared" si="22"/>
        <v>0</v>
      </c>
      <c r="AM13" s="219">
        <f t="shared" si="23"/>
        <v>0</v>
      </c>
      <c r="AN13" s="301">
        <f t="shared" si="24"/>
        <v>0</v>
      </c>
      <c r="AO13" s="301">
        <f t="shared" si="25"/>
        <v>0</v>
      </c>
      <c r="AP13" s="301">
        <f t="shared" si="26"/>
        <v>0</v>
      </c>
      <c r="AQ13" s="301">
        <f t="shared" si="27"/>
        <v>0</v>
      </c>
      <c r="AR13" s="301">
        <f t="shared" si="28"/>
        <v>0</v>
      </c>
      <c r="AS13" s="301">
        <f t="shared" si="29"/>
        <v>0</v>
      </c>
      <c r="AT13" s="302">
        <f t="shared" si="30"/>
        <v>0</v>
      </c>
      <c r="AU13" s="302">
        <f t="shared" si="31"/>
        <v>0</v>
      </c>
      <c r="AV13" s="81">
        <f t="shared" si="32"/>
        <v>0</v>
      </c>
      <c r="AW13" s="82">
        <f t="shared" si="33"/>
        <v>0</v>
      </c>
      <c r="AX13" s="81">
        <f t="shared" si="34"/>
        <v>0</v>
      </c>
      <c r="AY13" s="83">
        <f t="shared" si="35"/>
        <v>0</v>
      </c>
      <c r="AZ13" s="83">
        <f t="shared" si="36"/>
        <v>0</v>
      </c>
      <c r="BA13" s="82">
        <f>IF(OR(B13=Feiertage!$A$16,B13=Feiertage!$A$19),U13*Zuschläge_24_31/100,IF(AZ13&gt;0,AZ13*Feiertag_mit/100,IF(AX13&gt;0,AX13*Zuschläge_Sa/100,IF(AY13&gt;0,AY13*Zuschlag_So/100,0))))</f>
        <v>0</v>
      </c>
      <c r="BB13" s="82">
        <f>IF(AND(B13&lt;&gt;0,G13=Voreinstellung_Übersicht!$D$41),IF(EG=1,W13*Über_klein/100,IF(EG=2,W13*Über_groß/100,"Fehler")),0)</f>
        <v>0</v>
      </c>
      <c r="BC13" s="299">
        <f t="shared" ca="1" si="41"/>
        <v>0</v>
      </c>
      <c r="BD13" s="219">
        <f t="shared" ca="1" si="37"/>
        <v>1</v>
      </c>
      <c r="BE13" s="303">
        <f ca="1">IF(B13="","",INDIRECT(ADDRESS(MATCH(B13,Soll_AZ,1)+MATCH("Arbeitszeit 1 ab",Voreinstellung_Übersicht!B:B,0)-1,4,,,"Voreinstellung_Übersicht"),TRUE))</f>
        <v>1.6666666666666665</v>
      </c>
      <c r="BF13" s="1">
        <f t="shared" si="42"/>
        <v>0</v>
      </c>
    </row>
    <row r="14" spans="1:58" s="1" customFormat="1" ht="15" x14ac:dyDescent="0.3">
      <c r="A14" s="218">
        <f t="shared" si="0"/>
        <v>41</v>
      </c>
      <c r="B14" s="47">
        <f t="shared" si="38"/>
        <v>42283</v>
      </c>
      <c r="C14" s="219">
        <f t="shared" si="1"/>
        <v>1</v>
      </c>
      <c r="D14" s="220" t="str">
        <f t="shared" si="2"/>
        <v/>
      </c>
      <c r="E14" s="298" t="str">
        <f t="shared" si="3"/>
        <v/>
      </c>
      <c r="F14" s="87">
        <f t="shared" si="4"/>
        <v>42283</v>
      </c>
      <c r="G14" s="147"/>
      <c r="H14" s="74"/>
      <c r="I14" s="75"/>
      <c r="J14" s="221">
        <f t="shared" si="5"/>
        <v>0</v>
      </c>
      <c r="K14" s="76"/>
      <c r="L14" s="221">
        <f t="shared" si="43"/>
        <v>0</v>
      </c>
      <c r="M14" s="74"/>
      <c r="N14" s="75"/>
      <c r="O14" s="221">
        <f t="shared" si="6"/>
        <v>0</v>
      </c>
      <c r="P14" s="76"/>
      <c r="Q14" s="221">
        <f t="shared" si="44"/>
        <v>0</v>
      </c>
      <c r="R14" s="221">
        <f t="shared" si="45"/>
        <v>0</v>
      </c>
      <c r="S14" s="221">
        <f t="shared" si="7"/>
        <v>0</v>
      </c>
      <c r="T14" s="79">
        <f t="shared" si="8"/>
        <v>0</v>
      </c>
      <c r="U14" s="79">
        <f t="shared" si="39"/>
        <v>0</v>
      </c>
      <c r="V14" s="80">
        <f t="shared" ca="1" si="9"/>
        <v>0.33333333329999998</v>
      </c>
      <c r="W14" s="249" t="str">
        <f t="shared" ca="1" si="10"/>
        <v/>
      </c>
      <c r="X14" s="293"/>
      <c r="Y14" s="221">
        <f t="shared" si="11"/>
        <v>0</v>
      </c>
      <c r="Z14" s="299">
        <f ca="1">IF(B14="","",INDIRECT(ADDRESS(MATCH(B14,Soll_AZ,1)+MATCH("Arbeitszeit 1 ab",Voreinstellung_Übersicht!B:B,0)-1,WEEKDAY(B14,2)+4,,,"Voreinstellung_Übersicht"),TRUE))</f>
        <v>0.33333333333333331</v>
      </c>
      <c r="AA14" s="300">
        <f t="shared" ca="1" si="40"/>
        <v>0</v>
      </c>
      <c r="AB14" s="219">
        <f t="shared" si="12"/>
        <v>0</v>
      </c>
      <c r="AC14" s="219">
        <f t="shared" si="13"/>
        <v>0</v>
      </c>
      <c r="AD14" s="219">
        <f t="shared" si="14"/>
        <v>0</v>
      </c>
      <c r="AE14" s="219">
        <f t="shared" si="15"/>
        <v>0</v>
      </c>
      <c r="AF14" s="219">
        <f t="shared" si="16"/>
        <v>0</v>
      </c>
      <c r="AG14" s="219">
        <f t="shared" si="17"/>
        <v>0</v>
      </c>
      <c r="AH14" s="219">
        <f t="shared" si="18"/>
        <v>0</v>
      </c>
      <c r="AI14" s="219">
        <f t="shared" si="19"/>
        <v>0</v>
      </c>
      <c r="AJ14" s="219">
        <f t="shared" si="20"/>
        <v>0</v>
      </c>
      <c r="AK14" s="219">
        <f t="shared" si="21"/>
        <v>0</v>
      </c>
      <c r="AL14" s="219">
        <f t="shared" si="22"/>
        <v>0</v>
      </c>
      <c r="AM14" s="219">
        <f t="shared" si="23"/>
        <v>0</v>
      </c>
      <c r="AN14" s="301">
        <f t="shared" si="24"/>
        <v>0</v>
      </c>
      <c r="AO14" s="301">
        <f t="shared" si="25"/>
        <v>0</v>
      </c>
      <c r="AP14" s="301">
        <f t="shared" si="26"/>
        <v>0</v>
      </c>
      <c r="AQ14" s="301">
        <f t="shared" si="27"/>
        <v>0</v>
      </c>
      <c r="AR14" s="301">
        <f t="shared" si="28"/>
        <v>0</v>
      </c>
      <c r="AS14" s="301">
        <f t="shared" si="29"/>
        <v>0</v>
      </c>
      <c r="AT14" s="302">
        <f t="shared" si="30"/>
        <v>0</v>
      </c>
      <c r="AU14" s="302">
        <f t="shared" si="31"/>
        <v>0</v>
      </c>
      <c r="AV14" s="81">
        <f t="shared" si="32"/>
        <v>0</v>
      </c>
      <c r="AW14" s="82">
        <f t="shared" si="33"/>
        <v>0</v>
      </c>
      <c r="AX14" s="81">
        <f t="shared" si="34"/>
        <v>0</v>
      </c>
      <c r="AY14" s="83">
        <f t="shared" si="35"/>
        <v>0</v>
      </c>
      <c r="AZ14" s="83">
        <f t="shared" si="36"/>
        <v>0</v>
      </c>
      <c r="BA14" s="82">
        <f>IF(OR(B14=Feiertage!$A$16,B14=Feiertage!$A$19),U14*Zuschläge_24_31/100,IF(AZ14&gt;0,AZ14*Feiertag_mit/100,IF(AX14&gt;0,AX14*Zuschläge_Sa/100,IF(AY14&gt;0,AY14*Zuschlag_So/100,0))))</f>
        <v>0</v>
      </c>
      <c r="BB14" s="82">
        <f>IF(AND(B14&lt;&gt;0,G14=Voreinstellung_Übersicht!$D$41),IF(EG=1,W14*Über_klein/100,IF(EG=2,W14*Über_groß/100,"Fehler")),0)</f>
        <v>0</v>
      </c>
      <c r="BC14" s="299">
        <f t="shared" ca="1" si="41"/>
        <v>0</v>
      </c>
      <c r="BD14" s="219">
        <f t="shared" ca="1" si="37"/>
        <v>1</v>
      </c>
      <c r="BE14" s="303">
        <f ca="1">IF(B14="","",INDIRECT(ADDRESS(MATCH(B14,Soll_AZ,1)+MATCH("Arbeitszeit 1 ab",Voreinstellung_Übersicht!B:B,0)-1,4,,,"Voreinstellung_Übersicht"),TRUE))</f>
        <v>1.6666666666666665</v>
      </c>
      <c r="BF14" s="1">
        <f t="shared" si="42"/>
        <v>0</v>
      </c>
    </row>
    <row r="15" spans="1:58" s="1" customFormat="1" ht="15" x14ac:dyDescent="0.3">
      <c r="A15" s="218">
        <f t="shared" si="0"/>
        <v>41</v>
      </c>
      <c r="B15" s="47">
        <f t="shared" si="38"/>
        <v>42284</v>
      </c>
      <c r="C15" s="219">
        <f t="shared" si="1"/>
        <v>1</v>
      </c>
      <c r="D15" s="220" t="str">
        <f t="shared" si="2"/>
        <v/>
      </c>
      <c r="E15" s="298" t="str">
        <f t="shared" si="3"/>
        <v/>
      </c>
      <c r="F15" s="87">
        <f t="shared" si="4"/>
        <v>42284</v>
      </c>
      <c r="G15" s="147"/>
      <c r="H15" s="74"/>
      <c r="I15" s="75"/>
      <c r="J15" s="221">
        <f t="shared" si="5"/>
        <v>0</v>
      </c>
      <c r="K15" s="76"/>
      <c r="L15" s="221">
        <f t="shared" si="43"/>
        <v>0</v>
      </c>
      <c r="M15" s="74"/>
      <c r="N15" s="75"/>
      <c r="O15" s="221">
        <f t="shared" si="6"/>
        <v>0</v>
      </c>
      <c r="P15" s="76"/>
      <c r="Q15" s="221">
        <f t="shared" si="44"/>
        <v>0</v>
      </c>
      <c r="R15" s="221">
        <f t="shared" si="45"/>
        <v>0</v>
      </c>
      <c r="S15" s="221">
        <f t="shared" si="7"/>
        <v>0</v>
      </c>
      <c r="T15" s="79">
        <f t="shared" si="8"/>
        <v>0</v>
      </c>
      <c r="U15" s="79">
        <f t="shared" si="39"/>
        <v>0</v>
      </c>
      <c r="V15" s="80">
        <f t="shared" ca="1" si="9"/>
        <v>0.33333333329999998</v>
      </c>
      <c r="W15" s="249" t="str">
        <f t="shared" ca="1" si="10"/>
        <v/>
      </c>
      <c r="X15" s="293"/>
      <c r="Y15" s="221">
        <f t="shared" si="11"/>
        <v>0</v>
      </c>
      <c r="Z15" s="299">
        <f ca="1">IF(B15="","",INDIRECT(ADDRESS(MATCH(B15,Soll_AZ,1)+MATCH("Arbeitszeit 1 ab",Voreinstellung_Übersicht!B:B,0)-1,WEEKDAY(B15,2)+4,,,"Voreinstellung_Übersicht"),TRUE))</f>
        <v>0.33333333333333331</v>
      </c>
      <c r="AA15" s="300">
        <f t="shared" ca="1" si="40"/>
        <v>0</v>
      </c>
      <c r="AB15" s="219">
        <f t="shared" si="12"/>
        <v>0</v>
      </c>
      <c r="AC15" s="219">
        <f t="shared" si="13"/>
        <v>0</v>
      </c>
      <c r="AD15" s="219">
        <f t="shared" si="14"/>
        <v>0</v>
      </c>
      <c r="AE15" s="219">
        <f t="shared" si="15"/>
        <v>0</v>
      </c>
      <c r="AF15" s="219">
        <f t="shared" si="16"/>
        <v>0</v>
      </c>
      <c r="AG15" s="219">
        <f t="shared" si="17"/>
        <v>0</v>
      </c>
      <c r="AH15" s="219">
        <f t="shared" si="18"/>
        <v>0</v>
      </c>
      <c r="AI15" s="219">
        <f t="shared" si="19"/>
        <v>0</v>
      </c>
      <c r="AJ15" s="219">
        <f t="shared" si="20"/>
        <v>0</v>
      </c>
      <c r="AK15" s="219">
        <f t="shared" si="21"/>
        <v>0</v>
      </c>
      <c r="AL15" s="219">
        <f t="shared" si="22"/>
        <v>0</v>
      </c>
      <c r="AM15" s="219">
        <f t="shared" si="23"/>
        <v>0</v>
      </c>
      <c r="AN15" s="301">
        <f t="shared" si="24"/>
        <v>0</v>
      </c>
      <c r="AO15" s="301">
        <f t="shared" si="25"/>
        <v>0</v>
      </c>
      <c r="AP15" s="301">
        <f t="shared" si="26"/>
        <v>0</v>
      </c>
      <c r="AQ15" s="301">
        <f t="shared" si="27"/>
        <v>0</v>
      </c>
      <c r="AR15" s="301">
        <f t="shared" si="28"/>
        <v>0</v>
      </c>
      <c r="AS15" s="301">
        <f t="shared" si="29"/>
        <v>0</v>
      </c>
      <c r="AT15" s="302">
        <f t="shared" si="30"/>
        <v>0</v>
      </c>
      <c r="AU15" s="302">
        <f t="shared" si="31"/>
        <v>0</v>
      </c>
      <c r="AV15" s="81">
        <f t="shared" si="32"/>
        <v>0</v>
      </c>
      <c r="AW15" s="82">
        <f t="shared" si="33"/>
        <v>0</v>
      </c>
      <c r="AX15" s="81">
        <f t="shared" si="34"/>
        <v>0</v>
      </c>
      <c r="AY15" s="83">
        <f t="shared" si="35"/>
        <v>0</v>
      </c>
      <c r="AZ15" s="83">
        <f t="shared" si="36"/>
        <v>0</v>
      </c>
      <c r="BA15" s="82">
        <f>IF(OR(B15=Feiertage!$A$16,B15=Feiertage!$A$19),U15*Zuschläge_24_31/100,IF(AZ15&gt;0,AZ15*Feiertag_mit/100,IF(AX15&gt;0,AX15*Zuschläge_Sa/100,IF(AY15&gt;0,AY15*Zuschlag_So/100,0))))</f>
        <v>0</v>
      </c>
      <c r="BB15" s="82">
        <f>IF(AND(B15&lt;&gt;0,G15=Voreinstellung_Übersicht!$D$41),IF(EG=1,W15*Über_klein/100,IF(EG=2,W15*Über_groß/100,"Fehler")),0)</f>
        <v>0</v>
      </c>
      <c r="BC15" s="299">
        <f t="shared" ca="1" si="41"/>
        <v>0</v>
      </c>
      <c r="BD15" s="219">
        <f t="shared" ca="1" si="37"/>
        <v>1</v>
      </c>
      <c r="BE15" s="303">
        <f ca="1">IF(B15="","",INDIRECT(ADDRESS(MATCH(B15,Soll_AZ,1)+MATCH("Arbeitszeit 1 ab",Voreinstellung_Übersicht!B:B,0)-1,4,,,"Voreinstellung_Übersicht"),TRUE))</f>
        <v>1.6666666666666665</v>
      </c>
      <c r="BF15" s="1">
        <f t="shared" si="42"/>
        <v>0</v>
      </c>
    </row>
    <row r="16" spans="1:58" s="1" customFormat="1" ht="15" x14ac:dyDescent="0.3">
      <c r="A16" s="218">
        <f t="shared" si="0"/>
        <v>41</v>
      </c>
      <c r="B16" s="47">
        <f t="shared" si="38"/>
        <v>42285</v>
      </c>
      <c r="C16" s="219">
        <f t="shared" si="1"/>
        <v>1</v>
      </c>
      <c r="D16" s="220" t="str">
        <f t="shared" si="2"/>
        <v/>
      </c>
      <c r="E16" s="298" t="str">
        <f t="shared" si="3"/>
        <v/>
      </c>
      <c r="F16" s="87">
        <f t="shared" si="4"/>
        <v>42285</v>
      </c>
      <c r="G16" s="147"/>
      <c r="H16" s="74"/>
      <c r="I16" s="75"/>
      <c r="J16" s="221">
        <f t="shared" si="5"/>
        <v>0</v>
      </c>
      <c r="K16" s="76"/>
      <c r="L16" s="221">
        <f t="shared" si="43"/>
        <v>0</v>
      </c>
      <c r="M16" s="74"/>
      <c r="N16" s="75"/>
      <c r="O16" s="221">
        <f t="shared" si="6"/>
        <v>0</v>
      </c>
      <c r="P16" s="76"/>
      <c r="Q16" s="221">
        <f t="shared" si="44"/>
        <v>0</v>
      </c>
      <c r="R16" s="221">
        <f t="shared" si="45"/>
        <v>0</v>
      </c>
      <c r="S16" s="221">
        <f t="shared" si="7"/>
        <v>0</v>
      </c>
      <c r="T16" s="79">
        <f t="shared" si="8"/>
        <v>0</v>
      </c>
      <c r="U16" s="79">
        <f t="shared" si="39"/>
        <v>0</v>
      </c>
      <c r="V16" s="80">
        <f t="shared" ca="1" si="9"/>
        <v>0.33333333329999998</v>
      </c>
      <c r="W16" s="249" t="str">
        <f t="shared" ca="1" si="10"/>
        <v/>
      </c>
      <c r="X16" s="293"/>
      <c r="Y16" s="221">
        <f t="shared" si="11"/>
        <v>0</v>
      </c>
      <c r="Z16" s="299">
        <f ca="1">IF(B16="","",INDIRECT(ADDRESS(MATCH(B16,Soll_AZ,1)+MATCH("Arbeitszeit 1 ab",Voreinstellung_Übersicht!B:B,0)-1,WEEKDAY(B16,2)+4,,,"Voreinstellung_Übersicht"),TRUE))</f>
        <v>0.33333333333333331</v>
      </c>
      <c r="AA16" s="300">
        <f t="shared" ca="1" si="40"/>
        <v>0</v>
      </c>
      <c r="AB16" s="219">
        <f t="shared" si="12"/>
        <v>0</v>
      </c>
      <c r="AC16" s="219">
        <f t="shared" si="13"/>
        <v>0</v>
      </c>
      <c r="AD16" s="219">
        <f t="shared" si="14"/>
        <v>0</v>
      </c>
      <c r="AE16" s="219">
        <f t="shared" si="15"/>
        <v>0</v>
      </c>
      <c r="AF16" s="219">
        <f t="shared" si="16"/>
        <v>0</v>
      </c>
      <c r="AG16" s="219">
        <f t="shared" si="17"/>
        <v>0</v>
      </c>
      <c r="AH16" s="219">
        <f t="shared" si="18"/>
        <v>0</v>
      </c>
      <c r="AI16" s="219">
        <f t="shared" si="19"/>
        <v>0</v>
      </c>
      <c r="AJ16" s="219">
        <f t="shared" si="20"/>
        <v>0</v>
      </c>
      <c r="AK16" s="219">
        <f t="shared" si="21"/>
        <v>0</v>
      </c>
      <c r="AL16" s="219">
        <f t="shared" si="22"/>
        <v>0</v>
      </c>
      <c r="AM16" s="219">
        <f t="shared" si="23"/>
        <v>0</v>
      </c>
      <c r="AN16" s="301">
        <f t="shared" si="24"/>
        <v>0</v>
      </c>
      <c r="AO16" s="301">
        <f t="shared" si="25"/>
        <v>0</v>
      </c>
      <c r="AP16" s="301">
        <f t="shared" si="26"/>
        <v>0</v>
      </c>
      <c r="AQ16" s="301">
        <f t="shared" si="27"/>
        <v>0</v>
      </c>
      <c r="AR16" s="301">
        <f t="shared" si="28"/>
        <v>0</v>
      </c>
      <c r="AS16" s="301">
        <f t="shared" si="29"/>
        <v>0</v>
      </c>
      <c r="AT16" s="302">
        <f t="shared" si="30"/>
        <v>0</v>
      </c>
      <c r="AU16" s="302">
        <f t="shared" si="31"/>
        <v>0</v>
      </c>
      <c r="AV16" s="81">
        <f t="shared" si="32"/>
        <v>0</v>
      </c>
      <c r="AW16" s="82">
        <f t="shared" si="33"/>
        <v>0</v>
      </c>
      <c r="AX16" s="81">
        <f t="shared" si="34"/>
        <v>0</v>
      </c>
      <c r="AY16" s="83">
        <f t="shared" si="35"/>
        <v>0</v>
      </c>
      <c r="AZ16" s="83">
        <f t="shared" si="36"/>
        <v>0</v>
      </c>
      <c r="BA16" s="82">
        <f>IF(OR(B16=Feiertage!$A$16,B16=Feiertage!$A$19),U16*Zuschläge_24_31/100,IF(AZ16&gt;0,AZ16*Feiertag_mit/100,IF(AX16&gt;0,AX16*Zuschläge_Sa/100,IF(AY16&gt;0,AY16*Zuschlag_So/100,0))))</f>
        <v>0</v>
      </c>
      <c r="BB16" s="82">
        <f>IF(AND(B16&lt;&gt;0,G16=Voreinstellung_Übersicht!$D$41),IF(EG=1,W16*Über_klein/100,IF(EG=2,W16*Über_groß/100,"Fehler")),0)</f>
        <v>0</v>
      </c>
      <c r="BC16" s="299">
        <f t="shared" ca="1" si="41"/>
        <v>0</v>
      </c>
      <c r="BD16" s="219">
        <f t="shared" ca="1" si="37"/>
        <v>1</v>
      </c>
      <c r="BE16" s="303">
        <f ca="1">IF(B16="","",INDIRECT(ADDRESS(MATCH(B16,Soll_AZ,1)+MATCH("Arbeitszeit 1 ab",Voreinstellung_Übersicht!B:B,0)-1,4,,,"Voreinstellung_Übersicht"),TRUE))</f>
        <v>1.6666666666666665</v>
      </c>
      <c r="BF16" s="1">
        <f t="shared" si="42"/>
        <v>0</v>
      </c>
    </row>
    <row r="17" spans="1:58" s="1" customFormat="1" ht="15" x14ac:dyDescent="0.3">
      <c r="A17" s="218">
        <f t="shared" si="0"/>
        <v>41</v>
      </c>
      <c r="B17" s="47">
        <f t="shared" si="38"/>
        <v>42286</v>
      </c>
      <c r="C17" s="219">
        <f t="shared" si="1"/>
        <v>1</v>
      </c>
      <c r="D17" s="220" t="str">
        <f t="shared" si="2"/>
        <v/>
      </c>
      <c r="E17" s="298" t="str">
        <f t="shared" si="3"/>
        <v/>
      </c>
      <c r="F17" s="87">
        <f t="shared" si="4"/>
        <v>42286</v>
      </c>
      <c r="G17" s="147"/>
      <c r="H17" s="74"/>
      <c r="I17" s="75"/>
      <c r="J17" s="221">
        <f t="shared" si="5"/>
        <v>0</v>
      </c>
      <c r="K17" s="76"/>
      <c r="L17" s="221">
        <f t="shared" si="43"/>
        <v>0</v>
      </c>
      <c r="M17" s="74"/>
      <c r="N17" s="75"/>
      <c r="O17" s="221">
        <f t="shared" si="6"/>
        <v>0</v>
      </c>
      <c r="P17" s="76"/>
      <c r="Q17" s="221">
        <f t="shared" si="44"/>
        <v>0</v>
      </c>
      <c r="R17" s="221">
        <f t="shared" si="45"/>
        <v>0</v>
      </c>
      <c r="S17" s="221">
        <f t="shared" si="7"/>
        <v>0</v>
      </c>
      <c r="T17" s="79">
        <f t="shared" si="8"/>
        <v>0</v>
      </c>
      <c r="U17" s="79">
        <f t="shared" si="39"/>
        <v>0</v>
      </c>
      <c r="V17" s="80">
        <f t="shared" ca="1" si="9"/>
        <v>0.33333333329999998</v>
      </c>
      <c r="W17" s="249" t="str">
        <f t="shared" ca="1" si="10"/>
        <v/>
      </c>
      <c r="X17" s="293"/>
      <c r="Y17" s="221">
        <f t="shared" si="11"/>
        <v>0</v>
      </c>
      <c r="Z17" s="299">
        <f ca="1">IF(B17="","",INDIRECT(ADDRESS(MATCH(B17,Soll_AZ,1)+MATCH("Arbeitszeit 1 ab",Voreinstellung_Übersicht!B:B,0)-1,WEEKDAY(B17,2)+4,,,"Voreinstellung_Übersicht"),TRUE))</f>
        <v>0.33333333333333331</v>
      </c>
      <c r="AA17" s="300">
        <f t="shared" ca="1" si="40"/>
        <v>0</v>
      </c>
      <c r="AB17" s="219">
        <f t="shared" si="12"/>
        <v>0</v>
      </c>
      <c r="AC17" s="219">
        <f t="shared" si="13"/>
        <v>0</v>
      </c>
      <c r="AD17" s="219">
        <f t="shared" si="14"/>
        <v>0</v>
      </c>
      <c r="AE17" s="219">
        <f t="shared" si="15"/>
        <v>0</v>
      </c>
      <c r="AF17" s="219">
        <f t="shared" si="16"/>
        <v>0</v>
      </c>
      <c r="AG17" s="219">
        <f t="shared" si="17"/>
        <v>0</v>
      </c>
      <c r="AH17" s="219">
        <f t="shared" si="18"/>
        <v>0</v>
      </c>
      <c r="AI17" s="219">
        <f t="shared" si="19"/>
        <v>0</v>
      </c>
      <c r="AJ17" s="219">
        <f t="shared" si="20"/>
        <v>0</v>
      </c>
      <c r="AK17" s="219">
        <f t="shared" si="21"/>
        <v>0</v>
      </c>
      <c r="AL17" s="219">
        <f t="shared" si="22"/>
        <v>0</v>
      </c>
      <c r="AM17" s="219">
        <f t="shared" si="23"/>
        <v>0</v>
      </c>
      <c r="AN17" s="301">
        <f t="shared" si="24"/>
        <v>0</v>
      </c>
      <c r="AO17" s="301">
        <f t="shared" si="25"/>
        <v>0</v>
      </c>
      <c r="AP17" s="301">
        <f t="shared" si="26"/>
        <v>0</v>
      </c>
      <c r="AQ17" s="301">
        <f t="shared" si="27"/>
        <v>0</v>
      </c>
      <c r="AR17" s="301">
        <f t="shared" si="28"/>
        <v>0</v>
      </c>
      <c r="AS17" s="301">
        <f t="shared" si="29"/>
        <v>0</v>
      </c>
      <c r="AT17" s="302">
        <f t="shared" si="30"/>
        <v>0</v>
      </c>
      <c r="AU17" s="302">
        <f t="shared" si="31"/>
        <v>0</v>
      </c>
      <c r="AV17" s="81">
        <f t="shared" si="32"/>
        <v>0</v>
      </c>
      <c r="AW17" s="82">
        <f t="shared" si="33"/>
        <v>0</v>
      </c>
      <c r="AX17" s="81">
        <f t="shared" si="34"/>
        <v>0</v>
      </c>
      <c r="AY17" s="83">
        <f t="shared" si="35"/>
        <v>0</v>
      </c>
      <c r="AZ17" s="83">
        <f t="shared" si="36"/>
        <v>0</v>
      </c>
      <c r="BA17" s="82">
        <f>IF(OR(B17=Feiertage!$A$16,B17=Feiertage!$A$19),U17*Zuschläge_24_31/100,IF(AZ17&gt;0,AZ17*Feiertag_mit/100,IF(AX17&gt;0,AX17*Zuschläge_Sa/100,IF(AY17&gt;0,AY17*Zuschlag_So/100,0))))</f>
        <v>0</v>
      </c>
      <c r="BB17" s="82">
        <f>IF(AND(B17&lt;&gt;0,G17=Voreinstellung_Übersicht!$D$41),IF(EG=1,W17*Über_klein/100,IF(EG=2,W17*Über_groß/100,"Fehler")),0)</f>
        <v>0</v>
      </c>
      <c r="BC17" s="299">
        <f t="shared" ca="1" si="41"/>
        <v>0</v>
      </c>
      <c r="BD17" s="219">
        <f t="shared" ca="1" si="37"/>
        <v>1</v>
      </c>
      <c r="BE17" s="303">
        <f ca="1">IF(B17="","",INDIRECT(ADDRESS(MATCH(B17,Soll_AZ,1)+MATCH("Arbeitszeit 1 ab",Voreinstellung_Übersicht!B:B,0)-1,4,,,"Voreinstellung_Übersicht"),TRUE))</f>
        <v>1.6666666666666665</v>
      </c>
      <c r="BF17" s="1">
        <f t="shared" si="42"/>
        <v>0</v>
      </c>
    </row>
    <row r="18" spans="1:58" s="1" customFormat="1" ht="15" x14ac:dyDescent="0.3">
      <c r="A18" s="218">
        <f t="shared" si="0"/>
        <v>41</v>
      </c>
      <c r="B18" s="47">
        <f t="shared" si="38"/>
        <v>42287</v>
      </c>
      <c r="C18" s="219">
        <f t="shared" si="1"/>
        <v>1</v>
      </c>
      <c r="D18" s="220" t="str">
        <f t="shared" si="2"/>
        <v/>
      </c>
      <c r="E18" s="298" t="str">
        <f t="shared" si="3"/>
        <v/>
      </c>
      <c r="F18" s="87">
        <f t="shared" si="4"/>
        <v>42287</v>
      </c>
      <c r="G18" s="147"/>
      <c r="H18" s="74"/>
      <c r="I18" s="75"/>
      <c r="J18" s="221">
        <f t="shared" si="5"/>
        <v>0</v>
      </c>
      <c r="K18" s="76"/>
      <c r="L18" s="221">
        <f t="shared" si="43"/>
        <v>0</v>
      </c>
      <c r="M18" s="74"/>
      <c r="N18" s="75"/>
      <c r="O18" s="221">
        <f t="shared" si="6"/>
        <v>0</v>
      </c>
      <c r="P18" s="76"/>
      <c r="Q18" s="221">
        <f t="shared" si="44"/>
        <v>0</v>
      </c>
      <c r="R18" s="221">
        <f t="shared" si="45"/>
        <v>0</v>
      </c>
      <c r="S18" s="221">
        <f t="shared" si="7"/>
        <v>0</v>
      </c>
      <c r="T18" s="79">
        <f t="shared" si="8"/>
        <v>0</v>
      </c>
      <c r="U18" s="79">
        <f t="shared" si="39"/>
        <v>0</v>
      </c>
      <c r="V18" s="80">
        <f t="shared" ca="1" si="9"/>
        <v>0.33333333329999998</v>
      </c>
      <c r="W18" s="249" t="str">
        <f t="shared" ca="1" si="10"/>
        <v/>
      </c>
      <c r="X18" s="293"/>
      <c r="Y18" s="221">
        <f t="shared" si="11"/>
        <v>0</v>
      </c>
      <c r="Z18" s="299">
        <f ca="1">IF(B18="","",INDIRECT(ADDRESS(MATCH(B18,Soll_AZ,1)+MATCH("Arbeitszeit 1 ab",Voreinstellung_Übersicht!B:B,0)-1,WEEKDAY(B18,2)+4,,,"Voreinstellung_Übersicht"),TRUE))</f>
        <v>0.33333333333333331</v>
      </c>
      <c r="AA18" s="300">
        <f t="shared" ca="1" si="40"/>
        <v>0</v>
      </c>
      <c r="AB18" s="219">
        <f t="shared" si="12"/>
        <v>0</v>
      </c>
      <c r="AC18" s="219">
        <f t="shared" si="13"/>
        <v>0</v>
      </c>
      <c r="AD18" s="219">
        <f t="shared" si="14"/>
        <v>0</v>
      </c>
      <c r="AE18" s="219">
        <f t="shared" si="15"/>
        <v>0</v>
      </c>
      <c r="AF18" s="219">
        <f t="shared" si="16"/>
        <v>0</v>
      </c>
      <c r="AG18" s="219">
        <f t="shared" si="17"/>
        <v>0</v>
      </c>
      <c r="AH18" s="219">
        <f t="shared" si="18"/>
        <v>0</v>
      </c>
      <c r="AI18" s="219">
        <f t="shared" si="19"/>
        <v>0</v>
      </c>
      <c r="AJ18" s="219">
        <f t="shared" si="20"/>
        <v>0</v>
      </c>
      <c r="AK18" s="219">
        <f t="shared" si="21"/>
        <v>0</v>
      </c>
      <c r="AL18" s="219">
        <f t="shared" si="22"/>
        <v>0</v>
      </c>
      <c r="AM18" s="219">
        <f t="shared" si="23"/>
        <v>0</v>
      </c>
      <c r="AN18" s="301">
        <f t="shared" si="24"/>
        <v>0</v>
      </c>
      <c r="AO18" s="301">
        <f t="shared" si="25"/>
        <v>0</v>
      </c>
      <c r="AP18" s="301">
        <f t="shared" si="26"/>
        <v>0</v>
      </c>
      <c r="AQ18" s="301">
        <f t="shared" si="27"/>
        <v>0</v>
      </c>
      <c r="AR18" s="301">
        <f t="shared" si="28"/>
        <v>0</v>
      </c>
      <c r="AS18" s="301">
        <f t="shared" si="29"/>
        <v>0</v>
      </c>
      <c r="AT18" s="302">
        <f t="shared" si="30"/>
        <v>0</v>
      </c>
      <c r="AU18" s="302">
        <f t="shared" si="31"/>
        <v>0</v>
      </c>
      <c r="AV18" s="81">
        <f t="shared" si="32"/>
        <v>0</v>
      </c>
      <c r="AW18" s="82">
        <f t="shared" si="33"/>
        <v>0</v>
      </c>
      <c r="AX18" s="81">
        <f t="shared" si="34"/>
        <v>0</v>
      </c>
      <c r="AY18" s="83">
        <f t="shared" si="35"/>
        <v>0</v>
      </c>
      <c r="AZ18" s="83">
        <f t="shared" si="36"/>
        <v>0</v>
      </c>
      <c r="BA18" s="82">
        <f>IF(OR(B18=Feiertage!$A$16,B18=Feiertage!$A$19),U18*Zuschläge_24_31/100,IF(AZ18&gt;0,AZ18*Feiertag_mit/100,IF(AX18&gt;0,AX18*Zuschläge_Sa/100,IF(AY18&gt;0,AY18*Zuschlag_So/100,0))))</f>
        <v>0</v>
      </c>
      <c r="BB18" s="82">
        <f>IF(AND(B18&lt;&gt;0,G18=Voreinstellung_Übersicht!$D$41),IF(EG=1,W18*Über_klein/100,IF(EG=2,W18*Über_groß/100,"Fehler")),0)</f>
        <v>0</v>
      </c>
      <c r="BC18" s="299">
        <f t="shared" ca="1" si="41"/>
        <v>0</v>
      </c>
      <c r="BD18" s="219">
        <f t="shared" ca="1" si="37"/>
        <v>1</v>
      </c>
      <c r="BE18" s="303">
        <f ca="1">IF(B18="","",INDIRECT(ADDRESS(MATCH(B18,Soll_AZ,1)+MATCH("Arbeitszeit 1 ab",Voreinstellung_Übersicht!B:B,0)-1,4,,,"Voreinstellung_Übersicht"),TRUE))</f>
        <v>1.6666666666666665</v>
      </c>
      <c r="BF18" s="1">
        <f t="shared" si="42"/>
        <v>0</v>
      </c>
    </row>
    <row r="19" spans="1:58" s="1" customFormat="1" ht="15" x14ac:dyDescent="0.3">
      <c r="A19" s="218">
        <f t="shared" si="0"/>
        <v>41</v>
      </c>
      <c r="B19" s="47">
        <f t="shared" si="38"/>
        <v>42288</v>
      </c>
      <c r="C19" s="219">
        <f t="shared" si="1"/>
        <v>0</v>
      </c>
      <c r="D19" s="220" t="str">
        <f t="shared" si="2"/>
        <v/>
      </c>
      <c r="E19" s="298" t="str">
        <f t="shared" si="3"/>
        <v/>
      </c>
      <c r="F19" s="87">
        <f t="shared" si="4"/>
        <v>42288</v>
      </c>
      <c r="G19" s="147"/>
      <c r="H19" s="74"/>
      <c r="I19" s="75"/>
      <c r="J19" s="221">
        <f t="shared" si="5"/>
        <v>0</v>
      </c>
      <c r="K19" s="76"/>
      <c r="L19" s="221">
        <f t="shared" si="43"/>
        <v>0</v>
      </c>
      <c r="M19" s="74"/>
      <c r="N19" s="75"/>
      <c r="O19" s="221">
        <f t="shared" si="6"/>
        <v>0</v>
      </c>
      <c r="P19" s="76"/>
      <c r="Q19" s="221">
        <f t="shared" si="44"/>
        <v>0</v>
      </c>
      <c r="R19" s="221">
        <f t="shared" si="45"/>
        <v>0</v>
      </c>
      <c r="S19" s="221">
        <f t="shared" si="7"/>
        <v>0</v>
      </c>
      <c r="T19" s="79">
        <f t="shared" si="8"/>
        <v>0</v>
      </c>
      <c r="U19" s="79">
        <f t="shared" si="39"/>
        <v>0</v>
      </c>
      <c r="V19" s="80">
        <f t="shared" ca="1" si="9"/>
        <v>0</v>
      </c>
      <c r="W19" s="249" t="str">
        <f t="shared" ca="1" si="10"/>
        <v/>
      </c>
      <c r="X19" s="293"/>
      <c r="Y19" s="221">
        <f t="shared" si="11"/>
        <v>0</v>
      </c>
      <c r="Z19" s="299">
        <f ca="1">IF(B19="","",INDIRECT(ADDRESS(MATCH(B19,Soll_AZ,1)+MATCH("Arbeitszeit 1 ab",Voreinstellung_Übersicht!B:B,0)-1,WEEKDAY(B19,2)+4,,,"Voreinstellung_Übersicht"),TRUE))</f>
        <v>0</v>
      </c>
      <c r="AA19" s="300">
        <f t="shared" ca="1" si="40"/>
        <v>0</v>
      </c>
      <c r="AB19" s="219">
        <f t="shared" si="12"/>
        <v>0</v>
      </c>
      <c r="AC19" s="219">
        <f t="shared" si="13"/>
        <v>0</v>
      </c>
      <c r="AD19" s="219">
        <f t="shared" si="14"/>
        <v>0</v>
      </c>
      <c r="AE19" s="219">
        <f t="shared" si="15"/>
        <v>0</v>
      </c>
      <c r="AF19" s="219">
        <f t="shared" si="16"/>
        <v>0</v>
      </c>
      <c r="AG19" s="219">
        <f t="shared" si="17"/>
        <v>0</v>
      </c>
      <c r="AH19" s="219">
        <f t="shared" si="18"/>
        <v>0</v>
      </c>
      <c r="AI19" s="219">
        <f t="shared" si="19"/>
        <v>0</v>
      </c>
      <c r="AJ19" s="219">
        <f t="shared" si="20"/>
        <v>0</v>
      </c>
      <c r="AK19" s="219">
        <f t="shared" si="21"/>
        <v>0</v>
      </c>
      <c r="AL19" s="219">
        <f t="shared" si="22"/>
        <v>0</v>
      </c>
      <c r="AM19" s="219">
        <f t="shared" si="23"/>
        <v>0</v>
      </c>
      <c r="AN19" s="301">
        <f t="shared" si="24"/>
        <v>0</v>
      </c>
      <c r="AO19" s="301">
        <f t="shared" si="25"/>
        <v>0</v>
      </c>
      <c r="AP19" s="301">
        <f t="shared" si="26"/>
        <v>0</v>
      </c>
      <c r="AQ19" s="301">
        <f t="shared" si="27"/>
        <v>0</v>
      </c>
      <c r="AR19" s="301">
        <f t="shared" si="28"/>
        <v>0</v>
      </c>
      <c r="AS19" s="301">
        <f t="shared" si="29"/>
        <v>0</v>
      </c>
      <c r="AT19" s="302">
        <f t="shared" si="30"/>
        <v>0</v>
      </c>
      <c r="AU19" s="302">
        <f t="shared" si="31"/>
        <v>0</v>
      </c>
      <c r="AV19" s="81">
        <f t="shared" si="32"/>
        <v>0</v>
      </c>
      <c r="AW19" s="82">
        <f t="shared" si="33"/>
        <v>0</v>
      </c>
      <c r="AX19" s="81">
        <f t="shared" si="34"/>
        <v>0</v>
      </c>
      <c r="AY19" s="83">
        <f t="shared" si="35"/>
        <v>0</v>
      </c>
      <c r="AZ19" s="83">
        <f t="shared" si="36"/>
        <v>0</v>
      </c>
      <c r="BA19" s="82">
        <f>IF(OR(B19=Feiertage!$A$16,B19=Feiertage!$A$19),U19*Zuschläge_24_31/100,IF(AZ19&gt;0,AZ19*Feiertag_mit/100,IF(AX19&gt;0,AX19*Zuschläge_Sa/100,IF(AY19&gt;0,AY19*Zuschlag_So/100,0))))</f>
        <v>0</v>
      </c>
      <c r="BB19" s="82">
        <f>IF(AND(B19&lt;&gt;0,G19=Voreinstellung_Übersicht!$D$41),IF(EG=1,W19*Über_klein/100,IF(EG=2,W19*Über_groß/100,"Fehler")),0)</f>
        <v>0</v>
      </c>
      <c r="BC19" s="299">
        <f t="shared" ca="1" si="41"/>
        <v>0</v>
      </c>
      <c r="BD19" s="219">
        <f t="shared" ca="1" si="37"/>
        <v>1</v>
      </c>
      <c r="BE19" s="303">
        <f ca="1">IF(B19="","",INDIRECT(ADDRESS(MATCH(B19,Soll_AZ,1)+MATCH("Arbeitszeit 1 ab",Voreinstellung_Übersicht!B:B,0)-1,4,,,"Voreinstellung_Übersicht"),TRUE))</f>
        <v>1.6666666666666665</v>
      </c>
      <c r="BF19" s="1">
        <f t="shared" si="42"/>
        <v>0</v>
      </c>
    </row>
    <row r="20" spans="1:58" s="1" customFormat="1" ht="15" x14ac:dyDescent="0.3">
      <c r="A20" s="218">
        <f t="shared" si="0"/>
        <v>42</v>
      </c>
      <c r="B20" s="47">
        <f t="shared" si="38"/>
        <v>42289</v>
      </c>
      <c r="C20" s="219">
        <f t="shared" si="1"/>
        <v>0</v>
      </c>
      <c r="D20" s="220" t="str">
        <f t="shared" si="2"/>
        <v/>
      </c>
      <c r="E20" s="298" t="str">
        <f t="shared" si="3"/>
        <v/>
      </c>
      <c r="F20" s="87">
        <f t="shared" si="4"/>
        <v>42289</v>
      </c>
      <c r="G20" s="147"/>
      <c r="H20" s="74"/>
      <c r="I20" s="75"/>
      <c r="J20" s="221">
        <f t="shared" si="5"/>
        <v>0</v>
      </c>
      <c r="K20" s="76"/>
      <c r="L20" s="221">
        <f t="shared" si="43"/>
        <v>0</v>
      </c>
      <c r="M20" s="74"/>
      <c r="N20" s="75"/>
      <c r="O20" s="221">
        <f t="shared" si="6"/>
        <v>0</v>
      </c>
      <c r="P20" s="76"/>
      <c r="Q20" s="221">
        <f t="shared" si="44"/>
        <v>0</v>
      </c>
      <c r="R20" s="221">
        <f t="shared" si="45"/>
        <v>0</v>
      </c>
      <c r="S20" s="221">
        <f t="shared" si="7"/>
        <v>0</v>
      </c>
      <c r="T20" s="79">
        <f t="shared" si="8"/>
        <v>0</v>
      </c>
      <c r="U20" s="79">
        <f t="shared" si="39"/>
        <v>0</v>
      </c>
      <c r="V20" s="80">
        <f t="shared" ca="1" si="9"/>
        <v>0</v>
      </c>
      <c r="W20" s="249" t="str">
        <f t="shared" ca="1" si="10"/>
        <v/>
      </c>
      <c r="X20" s="293"/>
      <c r="Y20" s="221">
        <f t="shared" si="11"/>
        <v>0</v>
      </c>
      <c r="Z20" s="299">
        <f ca="1">IF(B20="","",INDIRECT(ADDRESS(MATCH(B20,Soll_AZ,1)+MATCH("Arbeitszeit 1 ab",Voreinstellung_Übersicht!B:B,0)-1,WEEKDAY(B20,2)+4,,,"Voreinstellung_Übersicht"),TRUE))</f>
        <v>0</v>
      </c>
      <c r="AA20" s="300">
        <f t="shared" ca="1" si="40"/>
        <v>0</v>
      </c>
      <c r="AB20" s="219">
        <f t="shared" si="12"/>
        <v>0</v>
      </c>
      <c r="AC20" s="219">
        <f t="shared" si="13"/>
        <v>0</v>
      </c>
      <c r="AD20" s="219">
        <f t="shared" si="14"/>
        <v>0</v>
      </c>
      <c r="AE20" s="219">
        <f t="shared" si="15"/>
        <v>0</v>
      </c>
      <c r="AF20" s="219">
        <f t="shared" si="16"/>
        <v>0</v>
      </c>
      <c r="AG20" s="219">
        <f t="shared" si="17"/>
        <v>0</v>
      </c>
      <c r="AH20" s="219">
        <f t="shared" si="18"/>
        <v>0</v>
      </c>
      <c r="AI20" s="219">
        <f t="shared" si="19"/>
        <v>0</v>
      </c>
      <c r="AJ20" s="219">
        <f t="shared" si="20"/>
        <v>0</v>
      </c>
      <c r="AK20" s="219">
        <f t="shared" si="21"/>
        <v>0</v>
      </c>
      <c r="AL20" s="219">
        <f t="shared" si="22"/>
        <v>0</v>
      </c>
      <c r="AM20" s="219">
        <f t="shared" si="23"/>
        <v>0</v>
      </c>
      <c r="AN20" s="301">
        <f t="shared" si="24"/>
        <v>0</v>
      </c>
      <c r="AO20" s="301">
        <f t="shared" si="25"/>
        <v>0</v>
      </c>
      <c r="AP20" s="301">
        <f t="shared" si="26"/>
        <v>0</v>
      </c>
      <c r="AQ20" s="301">
        <f t="shared" si="27"/>
        <v>0</v>
      </c>
      <c r="AR20" s="301">
        <f t="shared" si="28"/>
        <v>0</v>
      </c>
      <c r="AS20" s="301">
        <f t="shared" si="29"/>
        <v>0</v>
      </c>
      <c r="AT20" s="302">
        <f t="shared" si="30"/>
        <v>0</v>
      </c>
      <c r="AU20" s="302">
        <f t="shared" si="31"/>
        <v>0</v>
      </c>
      <c r="AV20" s="81">
        <f t="shared" si="32"/>
        <v>0</v>
      </c>
      <c r="AW20" s="82">
        <f t="shared" si="33"/>
        <v>0</v>
      </c>
      <c r="AX20" s="81">
        <f t="shared" si="34"/>
        <v>0</v>
      </c>
      <c r="AY20" s="83">
        <f t="shared" si="35"/>
        <v>0</v>
      </c>
      <c r="AZ20" s="83">
        <f t="shared" si="36"/>
        <v>0</v>
      </c>
      <c r="BA20" s="82">
        <f>IF(OR(B20=Feiertage!$A$16,B20=Feiertage!$A$19),U20*Zuschläge_24_31/100,IF(AZ20&gt;0,AZ20*Feiertag_mit/100,IF(AX20&gt;0,AX20*Zuschläge_Sa/100,IF(AY20&gt;0,AY20*Zuschlag_So/100,0))))</f>
        <v>0</v>
      </c>
      <c r="BB20" s="82">
        <f>IF(AND(B20&lt;&gt;0,G20=Voreinstellung_Übersicht!$D$41),IF(EG=1,W20*Über_klein/100,IF(EG=2,W20*Über_groß/100,"Fehler")),0)</f>
        <v>0</v>
      </c>
      <c r="BC20" s="299">
        <f t="shared" ca="1" si="41"/>
        <v>0</v>
      </c>
      <c r="BD20" s="219">
        <f t="shared" ca="1" si="37"/>
        <v>1</v>
      </c>
      <c r="BE20" s="303">
        <f ca="1">IF(B20="","",INDIRECT(ADDRESS(MATCH(B20,Soll_AZ,1)+MATCH("Arbeitszeit 1 ab",Voreinstellung_Übersicht!B:B,0)-1,4,,,"Voreinstellung_Übersicht"),TRUE))</f>
        <v>1.6666666666666665</v>
      </c>
      <c r="BF20" s="1">
        <f t="shared" si="42"/>
        <v>0</v>
      </c>
    </row>
    <row r="21" spans="1:58" s="1" customFormat="1" ht="15" x14ac:dyDescent="0.3">
      <c r="A21" s="218">
        <f t="shared" si="0"/>
        <v>42</v>
      </c>
      <c r="B21" s="47">
        <f t="shared" si="38"/>
        <v>42290</v>
      </c>
      <c r="C21" s="219">
        <f t="shared" si="1"/>
        <v>1</v>
      </c>
      <c r="D21" s="220" t="str">
        <f t="shared" si="2"/>
        <v/>
      </c>
      <c r="E21" s="298" t="str">
        <f t="shared" si="3"/>
        <v/>
      </c>
      <c r="F21" s="87">
        <f t="shared" si="4"/>
        <v>42290</v>
      </c>
      <c r="G21" s="147"/>
      <c r="H21" s="74"/>
      <c r="I21" s="75"/>
      <c r="J21" s="221">
        <f t="shared" si="5"/>
        <v>0</v>
      </c>
      <c r="K21" s="76"/>
      <c r="L21" s="221">
        <f t="shared" si="43"/>
        <v>0</v>
      </c>
      <c r="M21" s="74"/>
      <c r="N21" s="75"/>
      <c r="O21" s="221">
        <f t="shared" si="6"/>
        <v>0</v>
      </c>
      <c r="P21" s="76"/>
      <c r="Q21" s="221">
        <f t="shared" si="44"/>
        <v>0</v>
      </c>
      <c r="R21" s="221">
        <f t="shared" si="45"/>
        <v>0</v>
      </c>
      <c r="S21" s="221">
        <f t="shared" si="7"/>
        <v>0</v>
      </c>
      <c r="T21" s="79">
        <f t="shared" si="8"/>
        <v>0</v>
      </c>
      <c r="U21" s="79">
        <f t="shared" si="39"/>
        <v>0</v>
      </c>
      <c r="V21" s="80">
        <f t="shared" ca="1" si="9"/>
        <v>0.33333333329999998</v>
      </c>
      <c r="W21" s="249" t="str">
        <f t="shared" ca="1" si="10"/>
        <v/>
      </c>
      <c r="X21" s="293"/>
      <c r="Y21" s="221">
        <f t="shared" si="11"/>
        <v>0</v>
      </c>
      <c r="Z21" s="299">
        <f ca="1">IF(B21="","",INDIRECT(ADDRESS(MATCH(B21,Soll_AZ,1)+MATCH("Arbeitszeit 1 ab",Voreinstellung_Übersicht!B:B,0)-1,WEEKDAY(B21,2)+4,,,"Voreinstellung_Übersicht"),TRUE))</f>
        <v>0.33333333333333331</v>
      </c>
      <c r="AA21" s="300">
        <f t="shared" ca="1" si="40"/>
        <v>0</v>
      </c>
      <c r="AB21" s="219">
        <f t="shared" si="12"/>
        <v>0</v>
      </c>
      <c r="AC21" s="219">
        <f t="shared" si="13"/>
        <v>0</v>
      </c>
      <c r="AD21" s="219">
        <f t="shared" si="14"/>
        <v>0</v>
      </c>
      <c r="AE21" s="219">
        <f t="shared" si="15"/>
        <v>0</v>
      </c>
      <c r="AF21" s="219">
        <f t="shared" si="16"/>
        <v>0</v>
      </c>
      <c r="AG21" s="219">
        <f t="shared" si="17"/>
        <v>0</v>
      </c>
      <c r="AH21" s="219">
        <f t="shared" si="18"/>
        <v>0</v>
      </c>
      <c r="AI21" s="219">
        <f t="shared" si="19"/>
        <v>0</v>
      </c>
      <c r="AJ21" s="219">
        <f t="shared" si="20"/>
        <v>0</v>
      </c>
      <c r="AK21" s="219">
        <f t="shared" si="21"/>
        <v>0</v>
      </c>
      <c r="AL21" s="219">
        <f t="shared" si="22"/>
        <v>0</v>
      </c>
      <c r="AM21" s="219">
        <f t="shared" si="23"/>
        <v>0</v>
      </c>
      <c r="AN21" s="301">
        <f t="shared" si="24"/>
        <v>0</v>
      </c>
      <c r="AO21" s="301">
        <f t="shared" si="25"/>
        <v>0</v>
      </c>
      <c r="AP21" s="301">
        <f t="shared" si="26"/>
        <v>0</v>
      </c>
      <c r="AQ21" s="301">
        <f t="shared" si="27"/>
        <v>0</v>
      </c>
      <c r="AR21" s="301">
        <f t="shared" si="28"/>
        <v>0</v>
      </c>
      <c r="AS21" s="301">
        <f t="shared" si="29"/>
        <v>0</v>
      </c>
      <c r="AT21" s="302">
        <f t="shared" si="30"/>
        <v>0</v>
      </c>
      <c r="AU21" s="302">
        <f t="shared" si="31"/>
        <v>0</v>
      </c>
      <c r="AV21" s="81">
        <f t="shared" si="32"/>
        <v>0</v>
      </c>
      <c r="AW21" s="82">
        <f t="shared" si="33"/>
        <v>0</v>
      </c>
      <c r="AX21" s="81">
        <f t="shared" si="34"/>
        <v>0</v>
      </c>
      <c r="AY21" s="83">
        <f t="shared" si="35"/>
        <v>0</v>
      </c>
      <c r="AZ21" s="83">
        <f t="shared" si="36"/>
        <v>0</v>
      </c>
      <c r="BA21" s="82">
        <f>IF(OR(B21=Feiertage!$A$16,B21=Feiertage!$A$19),U21*Zuschläge_24_31/100,IF(AZ21&gt;0,AZ21*Feiertag_mit/100,IF(AX21&gt;0,AX21*Zuschläge_Sa/100,IF(AY21&gt;0,AY21*Zuschlag_So/100,0))))</f>
        <v>0</v>
      </c>
      <c r="BB21" s="82">
        <f>IF(AND(B21&lt;&gt;0,G21=Voreinstellung_Übersicht!$D$41),IF(EG=1,W21*Über_klein/100,IF(EG=2,W21*Über_groß/100,"Fehler")),0)</f>
        <v>0</v>
      </c>
      <c r="BC21" s="299">
        <f t="shared" ca="1" si="41"/>
        <v>0</v>
      </c>
      <c r="BD21" s="219">
        <f t="shared" ca="1" si="37"/>
        <v>1</v>
      </c>
      <c r="BE21" s="303">
        <f ca="1">IF(B21="","",INDIRECT(ADDRESS(MATCH(B21,Soll_AZ,1)+MATCH("Arbeitszeit 1 ab",Voreinstellung_Übersicht!B:B,0)-1,4,,,"Voreinstellung_Übersicht"),TRUE))</f>
        <v>1.6666666666666665</v>
      </c>
      <c r="BF21" s="1">
        <f t="shared" si="42"/>
        <v>0</v>
      </c>
    </row>
    <row r="22" spans="1:58" s="1" customFormat="1" ht="15" x14ac:dyDescent="0.3">
      <c r="A22" s="218">
        <f t="shared" si="0"/>
        <v>42</v>
      </c>
      <c r="B22" s="47">
        <f t="shared" si="38"/>
        <v>42291</v>
      </c>
      <c r="C22" s="219">
        <f t="shared" si="1"/>
        <v>1</v>
      </c>
      <c r="D22" s="220" t="str">
        <f t="shared" si="2"/>
        <v/>
      </c>
      <c r="E22" s="298" t="str">
        <f t="shared" si="3"/>
        <v/>
      </c>
      <c r="F22" s="87">
        <f t="shared" si="4"/>
        <v>42291</v>
      </c>
      <c r="G22" s="147"/>
      <c r="H22" s="74"/>
      <c r="I22" s="75"/>
      <c r="J22" s="221">
        <f t="shared" si="5"/>
        <v>0</v>
      </c>
      <c r="K22" s="76"/>
      <c r="L22" s="221">
        <f t="shared" si="43"/>
        <v>0</v>
      </c>
      <c r="M22" s="74"/>
      <c r="N22" s="75"/>
      <c r="O22" s="221">
        <f t="shared" si="6"/>
        <v>0</v>
      </c>
      <c r="P22" s="76"/>
      <c r="Q22" s="221">
        <f t="shared" si="44"/>
        <v>0</v>
      </c>
      <c r="R22" s="221">
        <f t="shared" si="45"/>
        <v>0</v>
      </c>
      <c r="S22" s="221">
        <f t="shared" si="7"/>
        <v>0</v>
      </c>
      <c r="T22" s="79">
        <f t="shared" si="8"/>
        <v>0</v>
      </c>
      <c r="U22" s="79">
        <f t="shared" si="39"/>
        <v>0</v>
      </c>
      <c r="V22" s="80">
        <f t="shared" ca="1" si="9"/>
        <v>0.33333333329999998</v>
      </c>
      <c r="W22" s="249" t="str">
        <f t="shared" ca="1" si="10"/>
        <v/>
      </c>
      <c r="X22" s="293"/>
      <c r="Y22" s="221">
        <f t="shared" si="11"/>
        <v>0</v>
      </c>
      <c r="Z22" s="299">
        <f ca="1">IF(B22="","",INDIRECT(ADDRESS(MATCH(B22,Soll_AZ,1)+MATCH("Arbeitszeit 1 ab",Voreinstellung_Übersicht!B:B,0)-1,WEEKDAY(B22,2)+4,,,"Voreinstellung_Übersicht"),TRUE))</f>
        <v>0.33333333333333331</v>
      </c>
      <c r="AA22" s="300">
        <f t="shared" ca="1" si="40"/>
        <v>0</v>
      </c>
      <c r="AB22" s="219">
        <f t="shared" si="12"/>
        <v>0</v>
      </c>
      <c r="AC22" s="219">
        <f t="shared" si="13"/>
        <v>0</v>
      </c>
      <c r="AD22" s="219">
        <f t="shared" si="14"/>
        <v>0</v>
      </c>
      <c r="AE22" s="219">
        <f t="shared" si="15"/>
        <v>0</v>
      </c>
      <c r="AF22" s="219">
        <f t="shared" si="16"/>
        <v>0</v>
      </c>
      <c r="AG22" s="219">
        <f t="shared" si="17"/>
        <v>0</v>
      </c>
      <c r="AH22" s="219">
        <f t="shared" si="18"/>
        <v>0</v>
      </c>
      <c r="AI22" s="219">
        <f t="shared" si="19"/>
        <v>0</v>
      </c>
      <c r="AJ22" s="219">
        <f t="shared" si="20"/>
        <v>0</v>
      </c>
      <c r="AK22" s="219">
        <f t="shared" si="21"/>
        <v>0</v>
      </c>
      <c r="AL22" s="219">
        <f t="shared" si="22"/>
        <v>0</v>
      </c>
      <c r="AM22" s="219">
        <f t="shared" si="23"/>
        <v>0</v>
      </c>
      <c r="AN22" s="301">
        <f t="shared" si="24"/>
        <v>0</v>
      </c>
      <c r="AO22" s="301">
        <f t="shared" si="25"/>
        <v>0</v>
      </c>
      <c r="AP22" s="301">
        <f t="shared" si="26"/>
        <v>0</v>
      </c>
      <c r="AQ22" s="301">
        <f t="shared" si="27"/>
        <v>0</v>
      </c>
      <c r="AR22" s="301">
        <f t="shared" si="28"/>
        <v>0</v>
      </c>
      <c r="AS22" s="301">
        <f t="shared" si="29"/>
        <v>0</v>
      </c>
      <c r="AT22" s="302">
        <f t="shared" si="30"/>
        <v>0</v>
      </c>
      <c r="AU22" s="302">
        <f t="shared" si="31"/>
        <v>0</v>
      </c>
      <c r="AV22" s="81">
        <f t="shared" si="32"/>
        <v>0</v>
      </c>
      <c r="AW22" s="82">
        <f t="shared" si="33"/>
        <v>0</v>
      </c>
      <c r="AX22" s="81">
        <f t="shared" si="34"/>
        <v>0</v>
      </c>
      <c r="AY22" s="83">
        <f t="shared" si="35"/>
        <v>0</v>
      </c>
      <c r="AZ22" s="83">
        <f t="shared" si="36"/>
        <v>0</v>
      </c>
      <c r="BA22" s="82">
        <f>IF(OR(B22=Feiertage!$A$16,B22=Feiertage!$A$19),U22*Zuschläge_24_31/100,IF(AZ22&gt;0,AZ22*Feiertag_mit/100,IF(AX22&gt;0,AX22*Zuschläge_Sa/100,IF(AY22&gt;0,AY22*Zuschlag_So/100,0))))</f>
        <v>0</v>
      </c>
      <c r="BB22" s="82">
        <f>IF(AND(B22&lt;&gt;0,G22=Voreinstellung_Übersicht!$D$41),IF(EG=1,W22*Über_klein/100,IF(EG=2,W22*Über_groß/100,"Fehler")),0)</f>
        <v>0</v>
      </c>
      <c r="BC22" s="299">
        <f t="shared" ca="1" si="41"/>
        <v>0</v>
      </c>
      <c r="BD22" s="219">
        <f t="shared" ca="1" si="37"/>
        <v>1</v>
      </c>
      <c r="BE22" s="303">
        <f ca="1">IF(B22="","",INDIRECT(ADDRESS(MATCH(B22,Soll_AZ,1)+MATCH("Arbeitszeit 1 ab",Voreinstellung_Übersicht!B:B,0)-1,4,,,"Voreinstellung_Übersicht"),TRUE))</f>
        <v>1.6666666666666665</v>
      </c>
      <c r="BF22" s="1">
        <f t="shared" si="42"/>
        <v>0</v>
      </c>
    </row>
    <row r="23" spans="1:58" s="1" customFormat="1" ht="15" x14ac:dyDescent="0.3">
      <c r="A23" s="218">
        <f t="shared" si="0"/>
        <v>42</v>
      </c>
      <c r="B23" s="47">
        <f t="shared" si="38"/>
        <v>42292</v>
      </c>
      <c r="C23" s="219">
        <f t="shared" si="1"/>
        <v>1</v>
      </c>
      <c r="D23" s="220" t="str">
        <f t="shared" si="2"/>
        <v/>
      </c>
      <c r="E23" s="298" t="str">
        <f t="shared" si="3"/>
        <v/>
      </c>
      <c r="F23" s="87">
        <f t="shared" si="4"/>
        <v>42292</v>
      </c>
      <c r="G23" s="147"/>
      <c r="H23" s="74"/>
      <c r="I23" s="75"/>
      <c r="J23" s="221">
        <f t="shared" si="5"/>
        <v>0</v>
      </c>
      <c r="K23" s="76"/>
      <c r="L23" s="221">
        <f t="shared" si="43"/>
        <v>0</v>
      </c>
      <c r="M23" s="74"/>
      <c r="N23" s="75"/>
      <c r="O23" s="221">
        <f t="shared" si="6"/>
        <v>0</v>
      </c>
      <c r="P23" s="76"/>
      <c r="Q23" s="221">
        <f t="shared" si="44"/>
        <v>0</v>
      </c>
      <c r="R23" s="221">
        <f t="shared" si="45"/>
        <v>0</v>
      </c>
      <c r="S23" s="221">
        <f t="shared" si="7"/>
        <v>0</v>
      </c>
      <c r="T23" s="79">
        <f t="shared" si="8"/>
        <v>0</v>
      </c>
      <c r="U23" s="79">
        <f t="shared" si="39"/>
        <v>0</v>
      </c>
      <c r="V23" s="80">
        <f t="shared" ca="1" si="9"/>
        <v>0.33333333329999998</v>
      </c>
      <c r="W23" s="249" t="str">
        <f t="shared" ca="1" si="10"/>
        <v/>
      </c>
      <c r="X23" s="293"/>
      <c r="Y23" s="221">
        <f t="shared" si="11"/>
        <v>0</v>
      </c>
      <c r="Z23" s="299">
        <f ca="1">IF(B23="","",INDIRECT(ADDRESS(MATCH(B23,Soll_AZ,1)+MATCH("Arbeitszeit 1 ab",Voreinstellung_Übersicht!B:B,0)-1,WEEKDAY(B23,2)+4,,,"Voreinstellung_Übersicht"),TRUE))</f>
        <v>0.33333333333333331</v>
      </c>
      <c r="AA23" s="300">
        <f t="shared" ca="1" si="40"/>
        <v>0</v>
      </c>
      <c r="AB23" s="219">
        <f t="shared" si="12"/>
        <v>0</v>
      </c>
      <c r="AC23" s="219">
        <f t="shared" si="13"/>
        <v>0</v>
      </c>
      <c r="AD23" s="219">
        <f t="shared" si="14"/>
        <v>0</v>
      </c>
      <c r="AE23" s="219">
        <f t="shared" si="15"/>
        <v>0</v>
      </c>
      <c r="AF23" s="219">
        <f t="shared" si="16"/>
        <v>0</v>
      </c>
      <c r="AG23" s="219">
        <f t="shared" si="17"/>
        <v>0</v>
      </c>
      <c r="AH23" s="219">
        <f t="shared" si="18"/>
        <v>0</v>
      </c>
      <c r="AI23" s="219">
        <f t="shared" si="19"/>
        <v>0</v>
      </c>
      <c r="AJ23" s="219">
        <f t="shared" si="20"/>
        <v>0</v>
      </c>
      <c r="AK23" s="219">
        <f t="shared" si="21"/>
        <v>0</v>
      </c>
      <c r="AL23" s="219">
        <f t="shared" si="22"/>
        <v>0</v>
      </c>
      <c r="AM23" s="219">
        <f t="shared" si="23"/>
        <v>0</v>
      </c>
      <c r="AN23" s="301">
        <f t="shared" si="24"/>
        <v>0</v>
      </c>
      <c r="AO23" s="301">
        <f t="shared" si="25"/>
        <v>0</v>
      </c>
      <c r="AP23" s="301">
        <f t="shared" si="26"/>
        <v>0</v>
      </c>
      <c r="AQ23" s="301">
        <f t="shared" si="27"/>
        <v>0</v>
      </c>
      <c r="AR23" s="301">
        <f t="shared" si="28"/>
        <v>0</v>
      </c>
      <c r="AS23" s="301">
        <f t="shared" si="29"/>
        <v>0</v>
      </c>
      <c r="AT23" s="302">
        <f t="shared" si="30"/>
        <v>0</v>
      </c>
      <c r="AU23" s="302">
        <f t="shared" si="31"/>
        <v>0</v>
      </c>
      <c r="AV23" s="81">
        <f t="shared" si="32"/>
        <v>0</v>
      </c>
      <c r="AW23" s="82">
        <f t="shared" si="33"/>
        <v>0</v>
      </c>
      <c r="AX23" s="81">
        <f t="shared" si="34"/>
        <v>0</v>
      </c>
      <c r="AY23" s="83">
        <f t="shared" si="35"/>
        <v>0</v>
      </c>
      <c r="AZ23" s="83">
        <f t="shared" si="36"/>
        <v>0</v>
      </c>
      <c r="BA23" s="82">
        <f>IF(OR(B23=Feiertage!$A$16,B23=Feiertage!$A$19),U23*Zuschläge_24_31/100,IF(AZ23&gt;0,AZ23*Feiertag_mit/100,IF(AX23&gt;0,AX23*Zuschläge_Sa/100,IF(AY23&gt;0,AY23*Zuschlag_So/100,0))))</f>
        <v>0</v>
      </c>
      <c r="BB23" s="82">
        <f>IF(AND(B23&lt;&gt;0,G23=Voreinstellung_Übersicht!$D$41),IF(EG=1,W23*Über_klein/100,IF(EG=2,W23*Über_groß/100,"Fehler")),0)</f>
        <v>0</v>
      </c>
      <c r="BC23" s="299">
        <f t="shared" ca="1" si="41"/>
        <v>0</v>
      </c>
      <c r="BD23" s="219">
        <f t="shared" ca="1" si="37"/>
        <v>1</v>
      </c>
      <c r="BE23" s="303">
        <f ca="1">IF(B23="","",INDIRECT(ADDRESS(MATCH(B23,Soll_AZ,1)+MATCH("Arbeitszeit 1 ab",Voreinstellung_Übersicht!B:B,0)-1,4,,,"Voreinstellung_Übersicht"),TRUE))</f>
        <v>1.6666666666666665</v>
      </c>
      <c r="BF23" s="1">
        <f t="shared" si="42"/>
        <v>0</v>
      </c>
    </row>
    <row r="24" spans="1:58" s="1" customFormat="1" ht="15" x14ac:dyDescent="0.3">
      <c r="A24" s="218">
        <f t="shared" si="0"/>
        <v>42</v>
      </c>
      <c r="B24" s="47">
        <f t="shared" si="38"/>
        <v>42293</v>
      </c>
      <c r="C24" s="219">
        <f t="shared" si="1"/>
        <v>1</v>
      </c>
      <c r="D24" s="220" t="str">
        <f t="shared" si="2"/>
        <v/>
      </c>
      <c r="E24" s="298" t="str">
        <f t="shared" si="3"/>
        <v/>
      </c>
      <c r="F24" s="87">
        <f t="shared" si="4"/>
        <v>42293</v>
      </c>
      <c r="G24" s="147"/>
      <c r="H24" s="74"/>
      <c r="I24" s="75"/>
      <c r="J24" s="221">
        <f t="shared" si="5"/>
        <v>0</v>
      </c>
      <c r="K24" s="76"/>
      <c r="L24" s="221">
        <f t="shared" si="43"/>
        <v>0</v>
      </c>
      <c r="M24" s="74"/>
      <c r="N24" s="75"/>
      <c r="O24" s="221">
        <f t="shared" si="6"/>
        <v>0</v>
      </c>
      <c r="P24" s="76"/>
      <c r="Q24" s="221">
        <f t="shared" si="44"/>
        <v>0</v>
      </c>
      <c r="R24" s="221">
        <f t="shared" si="45"/>
        <v>0</v>
      </c>
      <c r="S24" s="221">
        <f t="shared" si="7"/>
        <v>0</v>
      </c>
      <c r="T24" s="79">
        <f t="shared" si="8"/>
        <v>0</v>
      </c>
      <c r="U24" s="79">
        <f t="shared" si="39"/>
        <v>0</v>
      </c>
      <c r="V24" s="80">
        <f t="shared" ca="1" si="9"/>
        <v>0.33333333329999998</v>
      </c>
      <c r="W24" s="249" t="str">
        <f t="shared" ca="1" si="10"/>
        <v/>
      </c>
      <c r="X24" s="293"/>
      <c r="Y24" s="221">
        <f t="shared" si="11"/>
        <v>0</v>
      </c>
      <c r="Z24" s="299">
        <f ca="1">IF(B24="","",INDIRECT(ADDRESS(MATCH(B24,Soll_AZ,1)+MATCH("Arbeitszeit 1 ab",Voreinstellung_Übersicht!B:B,0)-1,WEEKDAY(B24,2)+4,,,"Voreinstellung_Übersicht"),TRUE))</f>
        <v>0.33333333333333331</v>
      </c>
      <c r="AA24" s="300">
        <f t="shared" ca="1" si="40"/>
        <v>0</v>
      </c>
      <c r="AB24" s="219">
        <f t="shared" si="12"/>
        <v>0</v>
      </c>
      <c r="AC24" s="219">
        <f t="shared" si="13"/>
        <v>0</v>
      </c>
      <c r="AD24" s="219">
        <f t="shared" si="14"/>
        <v>0</v>
      </c>
      <c r="AE24" s="219">
        <f t="shared" si="15"/>
        <v>0</v>
      </c>
      <c r="AF24" s="219">
        <f t="shared" si="16"/>
        <v>0</v>
      </c>
      <c r="AG24" s="219">
        <f t="shared" si="17"/>
        <v>0</v>
      </c>
      <c r="AH24" s="219">
        <f t="shared" si="18"/>
        <v>0</v>
      </c>
      <c r="AI24" s="219">
        <f t="shared" si="19"/>
        <v>0</v>
      </c>
      <c r="AJ24" s="219">
        <f t="shared" si="20"/>
        <v>0</v>
      </c>
      <c r="AK24" s="219">
        <f t="shared" si="21"/>
        <v>0</v>
      </c>
      <c r="AL24" s="219">
        <f t="shared" si="22"/>
        <v>0</v>
      </c>
      <c r="AM24" s="219">
        <f t="shared" si="23"/>
        <v>0</v>
      </c>
      <c r="AN24" s="301">
        <f t="shared" si="24"/>
        <v>0</v>
      </c>
      <c r="AO24" s="301">
        <f t="shared" si="25"/>
        <v>0</v>
      </c>
      <c r="AP24" s="301">
        <f t="shared" si="26"/>
        <v>0</v>
      </c>
      <c r="AQ24" s="301">
        <f t="shared" si="27"/>
        <v>0</v>
      </c>
      <c r="AR24" s="301">
        <f t="shared" si="28"/>
        <v>0</v>
      </c>
      <c r="AS24" s="301">
        <f t="shared" si="29"/>
        <v>0</v>
      </c>
      <c r="AT24" s="302">
        <f t="shared" si="30"/>
        <v>0</v>
      </c>
      <c r="AU24" s="302">
        <f t="shared" si="31"/>
        <v>0</v>
      </c>
      <c r="AV24" s="81">
        <f t="shared" si="32"/>
        <v>0</v>
      </c>
      <c r="AW24" s="82">
        <f t="shared" si="33"/>
        <v>0</v>
      </c>
      <c r="AX24" s="81">
        <f t="shared" si="34"/>
        <v>0</v>
      </c>
      <c r="AY24" s="83">
        <f t="shared" si="35"/>
        <v>0</v>
      </c>
      <c r="AZ24" s="83">
        <f t="shared" si="36"/>
        <v>0</v>
      </c>
      <c r="BA24" s="82">
        <f>IF(OR(B24=Feiertage!$A$16,B24=Feiertage!$A$19),U24*Zuschläge_24_31/100,IF(AZ24&gt;0,AZ24*Feiertag_mit/100,IF(AX24&gt;0,AX24*Zuschläge_Sa/100,IF(AY24&gt;0,AY24*Zuschlag_So/100,0))))</f>
        <v>0</v>
      </c>
      <c r="BB24" s="82">
        <f>IF(AND(B24&lt;&gt;0,G24=Voreinstellung_Übersicht!$D$41),IF(EG=1,W24*Über_klein/100,IF(EG=2,W24*Über_groß/100,"Fehler")),0)</f>
        <v>0</v>
      </c>
      <c r="BC24" s="299">
        <f t="shared" ca="1" si="41"/>
        <v>0</v>
      </c>
      <c r="BD24" s="219">
        <f t="shared" ca="1" si="37"/>
        <v>1</v>
      </c>
      <c r="BE24" s="303">
        <f ca="1">IF(B24="","",INDIRECT(ADDRESS(MATCH(B24,Soll_AZ,1)+MATCH("Arbeitszeit 1 ab",Voreinstellung_Übersicht!B:B,0)-1,4,,,"Voreinstellung_Übersicht"),TRUE))</f>
        <v>1.6666666666666665</v>
      </c>
      <c r="BF24" s="1">
        <f t="shared" si="42"/>
        <v>0</v>
      </c>
    </row>
    <row r="25" spans="1:58" s="1" customFormat="1" ht="15" x14ac:dyDescent="0.3">
      <c r="A25" s="218">
        <f t="shared" si="0"/>
        <v>42</v>
      </c>
      <c r="B25" s="47">
        <f t="shared" si="38"/>
        <v>42294</v>
      </c>
      <c r="C25" s="219">
        <f t="shared" si="1"/>
        <v>1</v>
      </c>
      <c r="D25" s="220" t="str">
        <f t="shared" si="2"/>
        <v/>
      </c>
      <c r="E25" s="298" t="str">
        <f t="shared" si="3"/>
        <v/>
      </c>
      <c r="F25" s="87">
        <f t="shared" si="4"/>
        <v>42294</v>
      </c>
      <c r="G25" s="147"/>
      <c r="H25" s="74"/>
      <c r="I25" s="75"/>
      <c r="J25" s="221">
        <f t="shared" si="5"/>
        <v>0</v>
      </c>
      <c r="K25" s="76"/>
      <c r="L25" s="221">
        <f t="shared" si="43"/>
        <v>0</v>
      </c>
      <c r="M25" s="74"/>
      <c r="N25" s="75"/>
      <c r="O25" s="221">
        <f t="shared" si="6"/>
        <v>0</v>
      </c>
      <c r="P25" s="76"/>
      <c r="Q25" s="221">
        <f t="shared" si="44"/>
        <v>0</v>
      </c>
      <c r="R25" s="221">
        <f t="shared" si="45"/>
        <v>0</v>
      </c>
      <c r="S25" s="221">
        <f t="shared" si="7"/>
        <v>0</v>
      </c>
      <c r="T25" s="79">
        <f t="shared" si="8"/>
        <v>0</v>
      </c>
      <c r="U25" s="79">
        <f t="shared" si="39"/>
        <v>0</v>
      </c>
      <c r="V25" s="80">
        <f t="shared" ca="1" si="9"/>
        <v>0.33333333329999998</v>
      </c>
      <c r="W25" s="249" t="str">
        <f t="shared" ca="1" si="10"/>
        <v/>
      </c>
      <c r="X25" s="293"/>
      <c r="Y25" s="221">
        <f t="shared" si="11"/>
        <v>0</v>
      </c>
      <c r="Z25" s="299">
        <f ca="1">IF(B25="","",INDIRECT(ADDRESS(MATCH(B25,Soll_AZ,1)+MATCH("Arbeitszeit 1 ab",Voreinstellung_Übersicht!B:B,0)-1,WEEKDAY(B25,2)+4,,,"Voreinstellung_Übersicht"),TRUE))</f>
        <v>0.33333333333333331</v>
      </c>
      <c r="AA25" s="300">
        <f t="shared" ca="1" si="40"/>
        <v>0</v>
      </c>
      <c r="AB25" s="219">
        <f t="shared" si="12"/>
        <v>0</v>
      </c>
      <c r="AC25" s="219">
        <f t="shared" si="13"/>
        <v>0</v>
      </c>
      <c r="AD25" s="219">
        <f t="shared" si="14"/>
        <v>0</v>
      </c>
      <c r="AE25" s="219">
        <f t="shared" si="15"/>
        <v>0</v>
      </c>
      <c r="AF25" s="219">
        <f t="shared" si="16"/>
        <v>0</v>
      </c>
      <c r="AG25" s="219">
        <f t="shared" si="17"/>
        <v>0</v>
      </c>
      <c r="AH25" s="219">
        <f t="shared" si="18"/>
        <v>0</v>
      </c>
      <c r="AI25" s="219">
        <f t="shared" si="19"/>
        <v>0</v>
      </c>
      <c r="AJ25" s="219">
        <f t="shared" si="20"/>
        <v>0</v>
      </c>
      <c r="AK25" s="219">
        <f t="shared" si="21"/>
        <v>0</v>
      </c>
      <c r="AL25" s="219">
        <f t="shared" si="22"/>
        <v>0</v>
      </c>
      <c r="AM25" s="219">
        <f t="shared" si="23"/>
        <v>0</v>
      </c>
      <c r="AN25" s="301">
        <f t="shared" si="24"/>
        <v>0</v>
      </c>
      <c r="AO25" s="301">
        <f t="shared" si="25"/>
        <v>0</v>
      </c>
      <c r="AP25" s="301">
        <f t="shared" si="26"/>
        <v>0</v>
      </c>
      <c r="AQ25" s="301">
        <f t="shared" si="27"/>
        <v>0</v>
      </c>
      <c r="AR25" s="301">
        <f t="shared" si="28"/>
        <v>0</v>
      </c>
      <c r="AS25" s="301">
        <f t="shared" si="29"/>
        <v>0</v>
      </c>
      <c r="AT25" s="302">
        <f t="shared" si="30"/>
        <v>0</v>
      </c>
      <c r="AU25" s="302">
        <f t="shared" si="31"/>
        <v>0</v>
      </c>
      <c r="AV25" s="81">
        <f t="shared" si="32"/>
        <v>0</v>
      </c>
      <c r="AW25" s="82">
        <f t="shared" si="33"/>
        <v>0</v>
      </c>
      <c r="AX25" s="81">
        <f t="shared" si="34"/>
        <v>0</v>
      </c>
      <c r="AY25" s="83">
        <f t="shared" si="35"/>
        <v>0</v>
      </c>
      <c r="AZ25" s="83">
        <f t="shared" si="36"/>
        <v>0</v>
      </c>
      <c r="BA25" s="82">
        <f>IF(OR(B25=Feiertage!$A$16,B25=Feiertage!$A$19),U25*Zuschläge_24_31/100,IF(AZ25&gt;0,AZ25*Feiertag_mit/100,IF(AX25&gt;0,AX25*Zuschläge_Sa/100,IF(AY25&gt;0,AY25*Zuschlag_So/100,0))))</f>
        <v>0</v>
      </c>
      <c r="BB25" s="82">
        <f>IF(AND(B25&lt;&gt;0,G25=Voreinstellung_Übersicht!$D$41),IF(EG=1,W25*Über_klein/100,IF(EG=2,W25*Über_groß/100,"Fehler")),0)</f>
        <v>0</v>
      </c>
      <c r="BC25" s="299">
        <f t="shared" ca="1" si="41"/>
        <v>0</v>
      </c>
      <c r="BD25" s="219">
        <f t="shared" ca="1" si="37"/>
        <v>1</v>
      </c>
      <c r="BE25" s="303">
        <f ca="1">IF(B25="","",INDIRECT(ADDRESS(MATCH(B25,Soll_AZ,1)+MATCH("Arbeitszeit 1 ab",Voreinstellung_Übersicht!B:B,0)-1,4,,,"Voreinstellung_Übersicht"),TRUE))</f>
        <v>1.6666666666666665</v>
      </c>
      <c r="BF25" s="1">
        <f t="shared" si="42"/>
        <v>0</v>
      </c>
    </row>
    <row r="26" spans="1:58" s="1" customFormat="1" ht="15" x14ac:dyDescent="0.3">
      <c r="A26" s="218">
        <f t="shared" si="0"/>
        <v>42</v>
      </c>
      <c r="B26" s="47">
        <f t="shared" si="38"/>
        <v>42295</v>
      </c>
      <c r="C26" s="219">
        <f t="shared" si="1"/>
        <v>0</v>
      </c>
      <c r="D26" s="220" t="str">
        <f t="shared" si="2"/>
        <v/>
      </c>
      <c r="E26" s="298" t="str">
        <f t="shared" si="3"/>
        <v/>
      </c>
      <c r="F26" s="87">
        <f t="shared" si="4"/>
        <v>42295</v>
      </c>
      <c r="G26" s="147"/>
      <c r="H26" s="74"/>
      <c r="I26" s="75"/>
      <c r="J26" s="221">
        <f t="shared" si="5"/>
        <v>0</v>
      </c>
      <c r="K26" s="76"/>
      <c r="L26" s="221">
        <f t="shared" si="43"/>
        <v>0</v>
      </c>
      <c r="M26" s="74"/>
      <c r="N26" s="75"/>
      <c r="O26" s="221">
        <f t="shared" si="6"/>
        <v>0</v>
      </c>
      <c r="P26" s="76"/>
      <c r="Q26" s="221">
        <f t="shared" si="44"/>
        <v>0</v>
      </c>
      <c r="R26" s="221">
        <f t="shared" si="45"/>
        <v>0</v>
      </c>
      <c r="S26" s="221">
        <f t="shared" si="7"/>
        <v>0</v>
      </c>
      <c r="T26" s="79">
        <f t="shared" si="8"/>
        <v>0</v>
      </c>
      <c r="U26" s="79">
        <f t="shared" si="39"/>
        <v>0</v>
      </c>
      <c r="V26" s="80">
        <f t="shared" ca="1" si="9"/>
        <v>0</v>
      </c>
      <c r="W26" s="249" t="str">
        <f t="shared" ca="1" si="10"/>
        <v/>
      </c>
      <c r="X26" s="293"/>
      <c r="Y26" s="221">
        <f t="shared" si="11"/>
        <v>0</v>
      </c>
      <c r="Z26" s="299">
        <f ca="1">IF(B26="","",INDIRECT(ADDRESS(MATCH(B26,Soll_AZ,1)+MATCH("Arbeitszeit 1 ab",Voreinstellung_Übersicht!B:B,0)-1,WEEKDAY(B26,2)+4,,,"Voreinstellung_Übersicht"),TRUE))</f>
        <v>0</v>
      </c>
      <c r="AA26" s="300">
        <f t="shared" ca="1" si="40"/>
        <v>0</v>
      </c>
      <c r="AB26" s="219">
        <f t="shared" si="12"/>
        <v>0</v>
      </c>
      <c r="AC26" s="219">
        <f t="shared" si="13"/>
        <v>0</v>
      </c>
      <c r="AD26" s="219">
        <f t="shared" si="14"/>
        <v>0</v>
      </c>
      <c r="AE26" s="219">
        <f t="shared" si="15"/>
        <v>0</v>
      </c>
      <c r="AF26" s="219">
        <f t="shared" si="16"/>
        <v>0</v>
      </c>
      <c r="AG26" s="219">
        <f t="shared" si="17"/>
        <v>0</v>
      </c>
      <c r="AH26" s="219">
        <f t="shared" si="18"/>
        <v>0</v>
      </c>
      <c r="AI26" s="219">
        <f t="shared" si="19"/>
        <v>0</v>
      </c>
      <c r="AJ26" s="219">
        <f t="shared" si="20"/>
        <v>0</v>
      </c>
      <c r="AK26" s="219">
        <f t="shared" si="21"/>
        <v>0</v>
      </c>
      <c r="AL26" s="219">
        <f t="shared" si="22"/>
        <v>0</v>
      </c>
      <c r="AM26" s="219">
        <f t="shared" si="23"/>
        <v>0</v>
      </c>
      <c r="AN26" s="301">
        <f t="shared" si="24"/>
        <v>0</v>
      </c>
      <c r="AO26" s="301">
        <f t="shared" si="25"/>
        <v>0</v>
      </c>
      <c r="AP26" s="301">
        <f t="shared" si="26"/>
        <v>0</v>
      </c>
      <c r="AQ26" s="301">
        <f t="shared" si="27"/>
        <v>0</v>
      </c>
      <c r="AR26" s="301">
        <f t="shared" si="28"/>
        <v>0</v>
      </c>
      <c r="AS26" s="301">
        <f t="shared" si="29"/>
        <v>0</v>
      </c>
      <c r="AT26" s="302">
        <f t="shared" si="30"/>
        <v>0</v>
      </c>
      <c r="AU26" s="302">
        <f t="shared" si="31"/>
        <v>0</v>
      </c>
      <c r="AV26" s="81">
        <f t="shared" si="32"/>
        <v>0</v>
      </c>
      <c r="AW26" s="82">
        <f t="shared" si="33"/>
        <v>0</v>
      </c>
      <c r="AX26" s="81">
        <f t="shared" si="34"/>
        <v>0</v>
      </c>
      <c r="AY26" s="83">
        <f t="shared" si="35"/>
        <v>0</v>
      </c>
      <c r="AZ26" s="83">
        <f t="shared" si="36"/>
        <v>0</v>
      </c>
      <c r="BA26" s="82">
        <f>IF(OR(B26=Feiertage!$A$16,B26=Feiertage!$A$19),U26*Zuschläge_24_31/100,IF(AZ26&gt;0,AZ26*Feiertag_mit/100,IF(AX26&gt;0,AX26*Zuschläge_Sa/100,IF(AY26&gt;0,AY26*Zuschlag_So/100,0))))</f>
        <v>0</v>
      </c>
      <c r="BB26" s="82">
        <f>IF(AND(B26&lt;&gt;0,G26=Voreinstellung_Übersicht!$D$41),IF(EG=1,W26*Über_klein/100,IF(EG=2,W26*Über_groß/100,"Fehler")),0)</f>
        <v>0</v>
      </c>
      <c r="BC26" s="299">
        <f t="shared" ca="1" si="41"/>
        <v>0</v>
      </c>
      <c r="BD26" s="219">
        <f t="shared" ca="1" si="37"/>
        <v>1</v>
      </c>
      <c r="BE26" s="303">
        <f ca="1">IF(B26="","",INDIRECT(ADDRESS(MATCH(B26,Soll_AZ,1)+MATCH("Arbeitszeit 1 ab",Voreinstellung_Übersicht!B:B,0)-1,4,,,"Voreinstellung_Übersicht"),TRUE))</f>
        <v>1.6666666666666665</v>
      </c>
      <c r="BF26" s="1">
        <f t="shared" si="42"/>
        <v>0</v>
      </c>
    </row>
    <row r="27" spans="1:58" s="1" customFormat="1" ht="15" x14ac:dyDescent="0.3">
      <c r="A27" s="218">
        <f t="shared" si="0"/>
        <v>43</v>
      </c>
      <c r="B27" s="47">
        <f t="shared" si="38"/>
        <v>42296</v>
      </c>
      <c r="C27" s="219">
        <f t="shared" si="1"/>
        <v>0</v>
      </c>
      <c r="D27" s="220" t="str">
        <f t="shared" si="2"/>
        <v/>
      </c>
      <c r="E27" s="298" t="str">
        <f t="shared" si="3"/>
        <v/>
      </c>
      <c r="F27" s="87">
        <f t="shared" si="4"/>
        <v>42296</v>
      </c>
      <c r="G27" s="147"/>
      <c r="H27" s="74"/>
      <c r="I27" s="75"/>
      <c r="J27" s="221">
        <f t="shared" si="5"/>
        <v>0</v>
      </c>
      <c r="K27" s="76"/>
      <c r="L27" s="221">
        <f t="shared" si="43"/>
        <v>0</v>
      </c>
      <c r="M27" s="74"/>
      <c r="N27" s="75"/>
      <c r="O27" s="221">
        <f t="shared" si="6"/>
        <v>0</v>
      </c>
      <c r="P27" s="76"/>
      <c r="Q27" s="221">
        <f t="shared" si="44"/>
        <v>0</v>
      </c>
      <c r="R27" s="221">
        <f t="shared" si="45"/>
        <v>0</v>
      </c>
      <c r="S27" s="221">
        <f t="shared" si="7"/>
        <v>0</v>
      </c>
      <c r="T27" s="79">
        <f t="shared" si="8"/>
        <v>0</v>
      </c>
      <c r="U27" s="79">
        <f t="shared" si="39"/>
        <v>0</v>
      </c>
      <c r="V27" s="80">
        <f t="shared" ca="1" si="9"/>
        <v>0</v>
      </c>
      <c r="W27" s="249" t="str">
        <f t="shared" ca="1" si="10"/>
        <v/>
      </c>
      <c r="X27" s="293"/>
      <c r="Y27" s="221">
        <f t="shared" si="11"/>
        <v>0</v>
      </c>
      <c r="Z27" s="299">
        <f ca="1">IF(B27="","",INDIRECT(ADDRESS(MATCH(B27,Soll_AZ,1)+MATCH("Arbeitszeit 1 ab",Voreinstellung_Übersicht!B:B,0)-1,WEEKDAY(B27,2)+4,,,"Voreinstellung_Übersicht"),TRUE))</f>
        <v>0</v>
      </c>
      <c r="AA27" s="300">
        <f t="shared" ca="1" si="40"/>
        <v>0</v>
      </c>
      <c r="AB27" s="219">
        <f t="shared" si="12"/>
        <v>0</v>
      </c>
      <c r="AC27" s="219">
        <f t="shared" si="13"/>
        <v>0</v>
      </c>
      <c r="AD27" s="219">
        <f t="shared" si="14"/>
        <v>0</v>
      </c>
      <c r="AE27" s="219">
        <f t="shared" si="15"/>
        <v>0</v>
      </c>
      <c r="AF27" s="219">
        <f t="shared" si="16"/>
        <v>0</v>
      </c>
      <c r="AG27" s="219">
        <f t="shared" si="17"/>
        <v>0</v>
      </c>
      <c r="AH27" s="219">
        <f t="shared" si="18"/>
        <v>0</v>
      </c>
      <c r="AI27" s="219">
        <f t="shared" si="19"/>
        <v>0</v>
      </c>
      <c r="AJ27" s="219">
        <f t="shared" si="20"/>
        <v>0</v>
      </c>
      <c r="AK27" s="219">
        <f t="shared" si="21"/>
        <v>0</v>
      </c>
      <c r="AL27" s="219">
        <f t="shared" si="22"/>
        <v>0</v>
      </c>
      <c r="AM27" s="219">
        <f t="shared" si="23"/>
        <v>0</v>
      </c>
      <c r="AN27" s="301">
        <f t="shared" si="24"/>
        <v>0</v>
      </c>
      <c r="AO27" s="301">
        <f t="shared" si="25"/>
        <v>0</v>
      </c>
      <c r="AP27" s="301">
        <f t="shared" si="26"/>
        <v>0</v>
      </c>
      <c r="AQ27" s="301">
        <f t="shared" si="27"/>
        <v>0</v>
      </c>
      <c r="AR27" s="301">
        <f t="shared" si="28"/>
        <v>0</v>
      </c>
      <c r="AS27" s="301">
        <f t="shared" si="29"/>
        <v>0</v>
      </c>
      <c r="AT27" s="302">
        <f t="shared" si="30"/>
        <v>0</v>
      </c>
      <c r="AU27" s="302">
        <f t="shared" si="31"/>
        <v>0</v>
      </c>
      <c r="AV27" s="81">
        <f t="shared" si="32"/>
        <v>0</v>
      </c>
      <c r="AW27" s="82">
        <f t="shared" si="33"/>
        <v>0</v>
      </c>
      <c r="AX27" s="81">
        <f t="shared" si="34"/>
        <v>0</v>
      </c>
      <c r="AY27" s="83">
        <f t="shared" si="35"/>
        <v>0</v>
      </c>
      <c r="AZ27" s="83">
        <f t="shared" si="36"/>
        <v>0</v>
      </c>
      <c r="BA27" s="82">
        <f>IF(OR(B27=Feiertage!$A$16,B27=Feiertage!$A$19),U27*Zuschläge_24_31/100,IF(AZ27&gt;0,AZ27*Feiertag_mit/100,IF(AX27&gt;0,AX27*Zuschläge_Sa/100,IF(AY27&gt;0,AY27*Zuschlag_So/100,0))))</f>
        <v>0</v>
      </c>
      <c r="BB27" s="82">
        <f>IF(AND(B27&lt;&gt;0,G27=Voreinstellung_Übersicht!$D$41),IF(EG=1,W27*Über_klein/100,IF(EG=2,W27*Über_groß/100,"Fehler")),0)</f>
        <v>0</v>
      </c>
      <c r="BC27" s="299">
        <f t="shared" ca="1" si="41"/>
        <v>0</v>
      </c>
      <c r="BD27" s="219">
        <f t="shared" ca="1" si="37"/>
        <v>1</v>
      </c>
      <c r="BE27" s="303">
        <f ca="1">IF(B27="","",INDIRECT(ADDRESS(MATCH(B27,Soll_AZ,1)+MATCH("Arbeitszeit 1 ab",Voreinstellung_Übersicht!B:B,0)-1,4,,,"Voreinstellung_Übersicht"),TRUE))</f>
        <v>1.6666666666666665</v>
      </c>
      <c r="BF27" s="1">
        <f t="shared" si="42"/>
        <v>0</v>
      </c>
    </row>
    <row r="28" spans="1:58" s="1" customFormat="1" ht="15" x14ac:dyDescent="0.3">
      <c r="A28" s="218">
        <f t="shared" si="0"/>
        <v>43</v>
      </c>
      <c r="B28" s="47">
        <f t="shared" si="38"/>
        <v>42297</v>
      </c>
      <c r="C28" s="219">
        <f t="shared" si="1"/>
        <v>1</v>
      </c>
      <c r="D28" s="220" t="str">
        <f t="shared" si="2"/>
        <v/>
      </c>
      <c r="E28" s="298" t="str">
        <f t="shared" si="3"/>
        <v/>
      </c>
      <c r="F28" s="87">
        <f t="shared" si="4"/>
        <v>42297</v>
      </c>
      <c r="G28" s="147"/>
      <c r="H28" s="74"/>
      <c r="I28" s="75"/>
      <c r="J28" s="221">
        <f t="shared" si="5"/>
        <v>0</v>
      </c>
      <c r="K28" s="76"/>
      <c r="L28" s="221">
        <f t="shared" si="43"/>
        <v>0</v>
      </c>
      <c r="M28" s="74"/>
      <c r="N28" s="75"/>
      <c r="O28" s="221">
        <f t="shared" si="6"/>
        <v>0</v>
      </c>
      <c r="P28" s="76"/>
      <c r="Q28" s="221">
        <f t="shared" si="44"/>
        <v>0</v>
      </c>
      <c r="R28" s="221">
        <f t="shared" si="45"/>
        <v>0</v>
      </c>
      <c r="S28" s="221">
        <f t="shared" si="7"/>
        <v>0</v>
      </c>
      <c r="T28" s="79">
        <f t="shared" si="8"/>
        <v>0</v>
      </c>
      <c r="U28" s="79">
        <f t="shared" si="39"/>
        <v>0</v>
      </c>
      <c r="V28" s="80">
        <f t="shared" ca="1" si="9"/>
        <v>0.33333333329999998</v>
      </c>
      <c r="W28" s="249" t="str">
        <f t="shared" ca="1" si="10"/>
        <v/>
      </c>
      <c r="X28" s="293"/>
      <c r="Y28" s="221">
        <f t="shared" si="11"/>
        <v>0</v>
      </c>
      <c r="Z28" s="299">
        <f ca="1">IF(B28="","",INDIRECT(ADDRESS(MATCH(B28,Soll_AZ,1)+MATCH("Arbeitszeit 1 ab",Voreinstellung_Übersicht!B:B,0)-1,WEEKDAY(B28,2)+4,,,"Voreinstellung_Übersicht"),TRUE))</f>
        <v>0.33333333333333331</v>
      </c>
      <c r="AA28" s="300">
        <f t="shared" ca="1" si="40"/>
        <v>0</v>
      </c>
      <c r="AB28" s="219">
        <f t="shared" si="12"/>
        <v>0</v>
      </c>
      <c r="AC28" s="219">
        <f t="shared" si="13"/>
        <v>0</v>
      </c>
      <c r="AD28" s="219">
        <f t="shared" si="14"/>
        <v>0</v>
      </c>
      <c r="AE28" s="219">
        <f t="shared" si="15"/>
        <v>0</v>
      </c>
      <c r="AF28" s="219">
        <f t="shared" si="16"/>
        <v>0</v>
      </c>
      <c r="AG28" s="219">
        <f t="shared" si="17"/>
        <v>0</v>
      </c>
      <c r="AH28" s="219">
        <f t="shared" si="18"/>
        <v>0</v>
      </c>
      <c r="AI28" s="219">
        <f t="shared" si="19"/>
        <v>0</v>
      </c>
      <c r="AJ28" s="219">
        <f t="shared" si="20"/>
        <v>0</v>
      </c>
      <c r="AK28" s="219">
        <f t="shared" si="21"/>
        <v>0</v>
      </c>
      <c r="AL28" s="219">
        <f t="shared" si="22"/>
        <v>0</v>
      </c>
      <c r="AM28" s="219">
        <f t="shared" si="23"/>
        <v>0</v>
      </c>
      <c r="AN28" s="301">
        <f t="shared" si="24"/>
        <v>0</v>
      </c>
      <c r="AO28" s="301">
        <f t="shared" si="25"/>
        <v>0</v>
      </c>
      <c r="AP28" s="301">
        <f t="shared" si="26"/>
        <v>0</v>
      </c>
      <c r="AQ28" s="301">
        <f t="shared" si="27"/>
        <v>0</v>
      </c>
      <c r="AR28" s="301">
        <f t="shared" si="28"/>
        <v>0</v>
      </c>
      <c r="AS28" s="301">
        <f t="shared" si="29"/>
        <v>0</v>
      </c>
      <c r="AT28" s="302">
        <f t="shared" si="30"/>
        <v>0</v>
      </c>
      <c r="AU28" s="302">
        <f t="shared" si="31"/>
        <v>0</v>
      </c>
      <c r="AV28" s="81">
        <f t="shared" si="32"/>
        <v>0</v>
      </c>
      <c r="AW28" s="82">
        <f t="shared" si="33"/>
        <v>0</v>
      </c>
      <c r="AX28" s="81">
        <f t="shared" si="34"/>
        <v>0</v>
      </c>
      <c r="AY28" s="83">
        <f t="shared" si="35"/>
        <v>0</v>
      </c>
      <c r="AZ28" s="83">
        <f t="shared" si="36"/>
        <v>0</v>
      </c>
      <c r="BA28" s="82">
        <f>IF(OR(B28=Feiertage!$A$16,B28=Feiertage!$A$19),U28*Zuschläge_24_31/100,IF(AZ28&gt;0,AZ28*Feiertag_mit/100,IF(AX28&gt;0,AX28*Zuschläge_Sa/100,IF(AY28&gt;0,AY28*Zuschlag_So/100,0))))</f>
        <v>0</v>
      </c>
      <c r="BB28" s="82">
        <f>IF(AND(B28&lt;&gt;0,G28=Voreinstellung_Übersicht!$D$41),IF(EG=1,W28*Über_klein/100,IF(EG=2,W28*Über_groß/100,"Fehler")),0)</f>
        <v>0</v>
      </c>
      <c r="BC28" s="299">
        <f t="shared" ca="1" si="41"/>
        <v>0</v>
      </c>
      <c r="BD28" s="219">
        <f t="shared" ca="1" si="37"/>
        <v>1</v>
      </c>
      <c r="BE28" s="303">
        <f ca="1">IF(B28="","",INDIRECT(ADDRESS(MATCH(B28,Soll_AZ,1)+MATCH("Arbeitszeit 1 ab",Voreinstellung_Übersicht!B:B,0)-1,4,,,"Voreinstellung_Übersicht"),TRUE))</f>
        <v>1.6666666666666665</v>
      </c>
      <c r="BF28" s="1">
        <f t="shared" si="42"/>
        <v>0</v>
      </c>
    </row>
    <row r="29" spans="1:58" s="1" customFormat="1" ht="15" x14ac:dyDescent="0.3">
      <c r="A29" s="218">
        <f t="shared" si="0"/>
        <v>43</v>
      </c>
      <c r="B29" s="47">
        <f t="shared" si="38"/>
        <v>42298</v>
      </c>
      <c r="C29" s="219">
        <f t="shared" si="1"/>
        <v>1</v>
      </c>
      <c r="D29" s="220" t="str">
        <f t="shared" si="2"/>
        <v/>
      </c>
      <c r="E29" s="298" t="str">
        <f t="shared" si="3"/>
        <v/>
      </c>
      <c r="F29" s="87">
        <f t="shared" si="4"/>
        <v>42298</v>
      </c>
      <c r="G29" s="147"/>
      <c r="H29" s="74"/>
      <c r="I29" s="75"/>
      <c r="J29" s="221">
        <f t="shared" si="5"/>
        <v>0</v>
      </c>
      <c r="K29" s="76"/>
      <c r="L29" s="221">
        <f t="shared" si="43"/>
        <v>0</v>
      </c>
      <c r="M29" s="74"/>
      <c r="N29" s="75"/>
      <c r="O29" s="221">
        <f t="shared" si="6"/>
        <v>0</v>
      </c>
      <c r="P29" s="76"/>
      <c r="Q29" s="221">
        <f t="shared" si="44"/>
        <v>0</v>
      </c>
      <c r="R29" s="221">
        <f t="shared" si="45"/>
        <v>0</v>
      </c>
      <c r="S29" s="221">
        <f t="shared" si="7"/>
        <v>0</v>
      </c>
      <c r="T29" s="79">
        <f t="shared" si="8"/>
        <v>0</v>
      </c>
      <c r="U29" s="79">
        <f t="shared" si="39"/>
        <v>0</v>
      </c>
      <c r="V29" s="80">
        <f t="shared" ca="1" si="9"/>
        <v>0.33333333329999998</v>
      </c>
      <c r="W29" s="249" t="str">
        <f t="shared" ca="1" si="10"/>
        <v/>
      </c>
      <c r="X29" s="293"/>
      <c r="Y29" s="221">
        <f t="shared" si="11"/>
        <v>0</v>
      </c>
      <c r="Z29" s="299">
        <f ca="1">IF(B29="","",INDIRECT(ADDRESS(MATCH(B29,Soll_AZ,1)+MATCH("Arbeitszeit 1 ab",Voreinstellung_Übersicht!B:B,0)-1,WEEKDAY(B29,2)+4,,,"Voreinstellung_Übersicht"),TRUE))</f>
        <v>0.33333333333333331</v>
      </c>
      <c r="AA29" s="300">
        <f t="shared" ca="1" si="40"/>
        <v>0</v>
      </c>
      <c r="AB29" s="219">
        <f t="shared" si="12"/>
        <v>0</v>
      </c>
      <c r="AC29" s="219">
        <f t="shared" si="13"/>
        <v>0</v>
      </c>
      <c r="AD29" s="219">
        <f t="shared" si="14"/>
        <v>0</v>
      </c>
      <c r="AE29" s="219">
        <f t="shared" si="15"/>
        <v>0</v>
      </c>
      <c r="AF29" s="219">
        <f t="shared" si="16"/>
        <v>0</v>
      </c>
      <c r="AG29" s="219">
        <f t="shared" si="17"/>
        <v>0</v>
      </c>
      <c r="AH29" s="219">
        <f t="shared" si="18"/>
        <v>0</v>
      </c>
      <c r="AI29" s="219">
        <f t="shared" si="19"/>
        <v>0</v>
      </c>
      <c r="AJ29" s="219">
        <f t="shared" si="20"/>
        <v>0</v>
      </c>
      <c r="AK29" s="219">
        <f t="shared" si="21"/>
        <v>0</v>
      </c>
      <c r="AL29" s="219">
        <f t="shared" si="22"/>
        <v>0</v>
      </c>
      <c r="AM29" s="219">
        <f t="shared" si="23"/>
        <v>0</v>
      </c>
      <c r="AN29" s="301">
        <f t="shared" si="24"/>
        <v>0</v>
      </c>
      <c r="AO29" s="301">
        <f t="shared" si="25"/>
        <v>0</v>
      </c>
      <c r="AP29" s="301">
        <f t="shared" si="26"/>
        <v>0</v>
      </c>
      <c r="AQ29" s="301">
        <f t="shared" si="27"/>
        <v>0</v>
      </c>
      <c r="AR29" s="301">
        <f t="shared" si="28"/>
        <v>0</v>
      </c>
      <c r="AS29" s="301">
        <f t="shared" si="29"/>
        <v>0</v>
      </c>
      <c r="AT29" s="302">
        <f t="shared" si="30"/>
        <v>0</v>
      </c>
      <c r="AU29" s="302">
        <f t="shared" si="31"/>
        <v>0</v>
      </c>
      <c r="AV29" s="81">
        <f t="shared" si="32"/>
        <v>0</v>
      </c>
      <c r="AW29" s="82">
        <f t="shared" si="33"/>
        <v>0</v>
      </c>
      <c r="AX29" s="81">
        <f t="shared" si="34"/>
        <v>0</v>
      </c>
      <c r="AY29" s="83">
        <f t="shared" si="35"/>
        <v>0</v>
      </c>
      <c r="AZ29" s="83">
        <f t="shared" si="36"/>
        <v>0</v>
      </c>
      <c r="BA29" s="82">
        <f>IF(OR(B29=Feiertage!$A$16,B29=Feiertage!$A$19),U29*Zuschläge_24_31/100,IF(AZ29&gt;0,AZ29*Feiertag_mit/100,IF(AX29&gt;0,AX29*Zuschläge_Sa/100,IF(AY29&gt;0,AY29*Zuschlag_So/100,0))))</f>
        <v>0</v>
      </c>
      <c r="BB29" s="82">
        <f>IF(AND(B29&lt;&gt;0,G29=Voreinstellung_Übersicht!$D$41),IF(EG=1,W29*Über_klein/100,IF(EG=2,W29*Über_groß/100,"Fehler")),0)</f>
        <v>0</v>
      </c>
      <c r="BC29" s="299">
        <f t="shared" ca="1" si="41"/>
        <v>0</v>
      </c>
      <c r="BD29" s="219">
        <f t="shared" ca="1" si="37"/>
        <v>1</v>
      </c>
      <c r="BE29" s="303">
        <f ca="1">IF(B29="","",INDIRECT(ADDRESS(MATCH(B29,Soll_AZ,1)+MATCH("Arbeitszeit 1 ab",Voreinstellung_Übersicht!B:B,0)-1,4,,,"Voreinstellung_Übersicht"),TRUE))</f>
        <v>1.6666666666666665</v>
      </c>
      <c r="BF29" s="1">
        <f t="shared" si="42"/>
        <v>0</v>
      </c>
    </row>
    <row r="30" spans="1:58" s="1" customFormat="1" ht="15" x14ac:dyDescent="0.3">
      <c r="A30" s="218">
        <f t="shared" si="0"/>
        <v>43</v>
      </c>
      <c r="B30" s="47">
        <f t="shared" si="38"/>
        <v>42299</v>
      </c>
      <c r="C30" s="219">
        <f t="shared" si="1"/>
        <v>1</v>
      </c>
      <c r="D30" s="220" t="str">
        <f t="shared" si="2"/>
        <v/>
      </c>
      <c r="E30" s="298" t="str">
        <f t="shared" si="3"/>
        <v/>
      </c>
      <c r="F30" s="87">
        <f t="shared" si="4"/>
        <v>42299</v>
      </c>
      <c r="G30" s="147"/>
      <c r="H30" s="74"/>
      <c r="I30" s="75"/>
      <c r="J30" s="221">
        <f t="shared" si="5"/>
        <v>0</v>
      </c>
      <c r="K30" s="76"/>
      <c r="L30" s="221">
        <f t="shared" si="43"/>
        <v>0</v>
      </c>
      <c r="M30" s="74"/>
      <c r="N30" s="75"/>
      <c r="O30" s="221">
        <f t="shared" si="6"/>
        <v>0</v>
      </c>
      <c r="P30" s="76"/>
      <c r="Q30" s="221">
        <f t="shared" si="44"/>
        <v>0</v>
      </c>
      <c r="R30" s="221">
        <f t="shared" si="45"/>
        <v>0</v>
      </c>
      <c r="S30" s="221">
        <f t="shared" si="7"/>
        <v>0</v>
      </c>
      <c r="T30" s="79">
        <f t="shared" si="8"/>
        <v>0</v>
      </c>
      <c r="U30" s="79">
        <f t="shared" si="39"/>
        <v>0</v>
      </c>
      <c r="V30" s="80">
        <f t="shared" ca="1" si="9"/>
        <v>0.33333333329999998</v>
      </c>
      <c r="W30" s="249" t="str">
        <f t="shared" ca="1" si="10"/>
        <v/>
      </c>
      <c r="X30" s="293"/>
      <c r="Y30" s="221">
        <f t="shared" si="11"/>
        <v>0</v>
      </c>
      <c r="Z30" s="299">
        <f ca="1">IF(B30="","",INDIRECT(ADDRESS(MATCH(B30,Soll_AZ,1)+MATCH("Arbeitszeit 1 ab",Voreinstellung_Übersicht!B:B,0)-1,WEEKDAY(B30,2)+4,,,"Voreinstellung_Übersicht"),TRUE))</f>
        <v>0.33333333333333331</v>
      </c>
      <c r="AA30" s="300">
        <f t="shared" ca="1" si="40"/>
        <v>0</v>
      </c>
      <c r="AB30" s="219">
        <f t="shared" si="12"/>
        <v>0</v>
      </c>
      <c r="AC30" s="219">
        <f t="shared" si="13"/>
        <v>0</v>
      </c>
      <c r="AD30" s="219">
        <f t="shared" si="14"/>
        <v>0</v>
      </c>
      <c r="AE30" s="219">
        <f t="shared" si="15"/>
        <v>0</v>
      </c>
      <c r="AF30" s="219">
        <f t="shared" si="16"/>
        <v>0</v>
      </c>
      <c r="AG30" s="219">
        <f t="shared" si="17"/>
        <v>0</v>
      </c>
      <c r="AH30" s="219">
        <f t="shared" si="18"/>
        <v>0</v>
      </c>
      <c r="AI30" s="219">
        <f t="shared" si="19"/>
        <v>0</v>
      </c>
      <c r="AJ30" s="219">
        <f t="shared" si="20"/>
        <v>0</v>
      </c>
      <c r="AK30" s="219">
        <f t="shared" si="21"/>
        <v>0</v>
      </c>
      <c r="AL30" s="219">
        <f t="shared" si="22"/>
        <v>0</v>
      </c>
      <c r="AM30" s="219">
        <f t="shared" si="23"/>
        <v>0</v>
      </c>
      <c r="AN30" s="301">
        <f t="shared" si="24"/>
        <v>0</v>
      </c>
      <c r="AO30" s="301">
        <f t="shared" si="25"/>
        <v>0</v>
      </c>
      <c r="AP30" s="301">
        <f t="shared" si="26"/>
        <v>0</v>
      </c>
      <c r="AQ30" s="301">
        <f t="shared" si="27"/>
        <v>0</v>
      </c>
      <c r="AR30" s="301">
        <f t="shared" si="28"/>
        <v>0</v>
      </c>
      <c r="AS30" s="301">
        <f t="shared" si="29"/>
        <v>0</v>
      </c>
      <c r="AT30" s="302">
        <f t="shared" si="30"/>
        <v>0</v>
      </c>
      <c r="AU30" s="302">
        <f t="shared" si="31"/>
        <v>0</v>
      </c>
      <c r="AV30" s="81">
        <f t="shared" si="32"/>
        <v>0</v>
      </c>
      <c r="AW30" s="82">
        <f t="shared" si="33"/>
        <v>0</v>
      </c>
      <c r="AX30" s="81">
        <f t="shared" si="34"/>
        <v>0</v>
      </c>
      <c r="AY30" s="83">
        <f t="shared" si="35"/>
        <v>0</v>
      </c>
      <c r="AZ30" s="83">
        <f t="shared" si="36"/>
        <v>0</v>
      </c>
      <c r="BA30" s="82">
        <f>IF(OR(B30=Feiertage!$A$16,B30=Feiertage!$A$19),U30*Zuschläge_24_31/100,IF(AZ30&gt;0,AZ30*Feiertag_mit/100,IF(AX30&gt;0,AX30*Zuschläge_Sa/100,IF(AY30&gt;0,AY30*Zuschlag_So/100,0))))</f>
        <v>0</v>
      </c>
      <c r="BB30" s="82">
        <f>IF(AND(B30&lt;&gt;0,G30=Voreinstellung_Übersicht!$D$41),IF(EG=1,W30*Über_klein/100,IF(EG=2,W30*Über_groß/100,"Fehler")),0)</f>
        <v>0</v>
      </c>
      <c r="BC30" s="299">
        <f t="shared" ca="1" si="41"/>
        <v>0</v>
      </c>
      <c r="BD30" s="219">
        <f t="shared" ca="1" si="37"/>
        <v>1</v>
      </c>
      <c r="BE30" s="303">
        <f ca="1">IF(B30="","",INDIRECT(ADDRESS(MATCH(B30,Soll_AZ,1)+MATCH("Arbeitszeit 1 ab",Voreinstellung_Übersicht!B:B,0)-1,4,,,"Voreinstellung_Übersicht"),TRUE))</f>
        <v>1.6666666666666665</v>
      </c>
      <c r="BF30" s="1">
        <f t="shared" si="42"/>
        <v>0</v>
      </c>
    </row>
    <row r="31" spans="1:58" s="1" customFormat="1" ht="15" x14ac:dyDescent="0.3">
      <c r="A31" s="218">
        <f t="shared" si="0"/>
        <v>43</v>
      </c>
      <c r="B31" s="47">
        <f t="shared" si="38"/>
        <v>42300</v>
      </c>
      <c r="C31" s="219">
        <f t="shared" si="1"/>
        <v>1</v>
      </c>
      <c r="D31" s="220" t="str">
        <f t="shared" si="2"/>
        <v/>
      </c>
      <c r="E31" s="298" t="str">
        <f t="shared" si="3"/>
        <v/>
      </c>
      <c r="F31" s="87">
        <f t="shared" si="4"/>
        <v>42300</v>
      </c>
      <c r="G31" s="147"/>
      <c r="H31" s="74"/>
      <c r="I31" s="75"/>
      <c r="J31" s="221">
        <f t="shared" si="5"/>
        <v>0</v>
      </c>
      <c r="K31" s="76"/>
      <c r="L31" s="221">
        <f t="shared" si="43"/>
        <v>0</v>
      </c>
      <c r="M31" s="74"/>
      <c r="N31" s="75"/>
      <c r="O31" s="221">
        <f t="shared" si="6"/>
        <v>0</v>
      </c>
      <c r="P31" s="76"/>
      <c r="Q31" s="221">
        <f t="shared" si="44"/>
        <v>0</v>
      </c>
      <c r="R31" s="221">
        <f t="shared" si="45"/>
        <v>0</v>
      </c>
      <c r="S31" s="221">
        <f t="shared" si="7"/>
        <v>0</v>
      </c>
      <c r="T31" s="79">
        <f t="shared" si="8"/>
        <v>0</v>
      </c>
      <c r="U31" s="79">
        <f t="shared" si="39"/>
        <v>0</v>
      </c>
      <c r="V31" s="80">
        <f t="shared" ca="1" si="9"/>
        <v>0.33333333329999998</v>
      </c>
      <c r="W31" s="249" t="str">
        <f t="shared" ca="1" si="10"/>
        <v/>
      </c>
      <c r="X31" s="293"/>
      <c r="Y31" s="221">
        <f t="shared" si="11"/>
        <v>0</v>
      </c>
      <c r="Z31" s="299">
        <f ca="1">IF(B31="","",INDIRECT(ADDRESS(MATCH(B31,Soll_AZ,1)+MATCH("Arbeitszeit 1 ab",Voreinstellung_Übersicht!B:B,0)-1,WEEKDAY(B31,2)+4,,,"Voreinstellung_Übersicht"),TRUE))</f>
        <v>0.33333333333333331</v>
      </c>
      <c r="AA31" s="300">
        <f t="shared" ca="1" si="40"/>
        <v>0</v>
      </c>
      <c r="AB31" s="219">
        <f t="shared" si="12"/>
        <v>0</v>
      </c>
      <c r="AC31" s="219">
        <f t="shared" si="13"/>
        <v>0</v>
      </c>
      <c r="AD31" s="219">
        <f t="shared" si="14"/>
        <v>0</v>
      </c>
      <c r="AE31" s="219">
        <f t="shared" si="15"/>
        <v>0</v>
      </c>
      <c r="AF31" s="219">
        <f t="shared" si="16"/>
        <v>0</v>
      </c>
      <c r="AG31" s="219">
        <f t="shared" si="17"/>
        <v>0</v>
      </c>
      <c r="AH31" s="219">
        <f t="shared" si="18"/>
        <v>0</v>
      </c>
      <c r="AI31" s="219">
        <f t="shared" si="19"/>
        <v>0</v>
      </c>
      <c r="AJ31" s="219">
        <f t="shared" si="20"/>
        <v>0</v>
      </c>
      <c r="AK31" s="219">
        <f t="shared" si="21"/>
        <v>0</v>
      </c>
      <c r="AL31" s="219">
        <f t="shared" si="22"/>
        <v>0</v>
      </c>
      <c r="AM31" s="219">
        <f t="shared" si="23"/>
        <v>0</v>
      </c>
      <c r="AN31" s="301">
        <f t="shared" si="24"/>
        <v>0</v>
      </c>
      <c r="AO31" s="301">
        <f t="shared" si="25"/>
        <v>0</v>
      </c>
      <c r="AP31" s="301">
        <f t="shared" si="26"/>
        <v>0</v>
      </c>
      <c r="AQ31" s="301">
        <f t="shared" si="27"/>
        <v>0</v>
      </c>
      <c r="AR31" s="301">
        <f t="shared" si="28"/>
        <v>0</v>
      </c>
      <c r="AS31" s="301">
        <f t="shared" si="29"/>
        <v>0</v>
      </c>
      <c r="AT31" s="302">
        <f t="shared" si="30"/>
        <v>0</v>
      </c>
      <c r="AU31" s="302">
        <f t="shared" si="31"/>
        <v>0</v>
      </c>
      <c r="AV31" s="81">
        <f t="shared" si="32"/>
        <v>0</v>
      </c>
      <c r="AW31" s="82">
        <f t="shared" si="33"/>
        <v>0</v>
      </c>
      <c r="AX31" s="81">
        <f t="shared" si="34"/>
        <v>0</v>
      </c>
      <c r="AY31" s="83">
        <f t="shared" si="35"/>
        <v>0</v>
      </c>
      <c r="AZ31" s="83">
        <f t="shared" si="36"/>
        <v>0</v>
      </c>
      <c r="BA31" s="82">
        <f>IF(OR(B31=Feiertage!$A$16,B31=Feiertage!$A$19),U31*Zuschläge_24_31/100,IF(AZ31&gt;0,AZ31*Feiertag_mit/100,IF(AX31&gt;0,AX31*Zuschläge_Sa/100,IF(AY31&gt;0,AY31*Zuschlag_So/100,0))))</f>
        <v>0</v>
      </c>
      <c r="BB31" s="82">
        <f>IF(AND(B31&lt;&gt;0,G31=Voreinstellung_Übersicht!$D$41),IF(EG=1,W31*Über_klein/100,IF(EG=2,W31*Über_groß/100,"Fehler")),0)</f>
        <v>0</v>
      </c>
      <c r="BC31" s="299">
        <f t="shared" ca="1" si="41"/>
        <v>0</v>
      </c>
      <c r="BD31" s="219">
        <f t="shared" ca="1" si="37"/>
        <v>1</v>
      </c>
      <c r="BE31" s="303">
        <f ca="1">IF(B31="","",INDIRECT(ADDRESS(MATCH(B31,Soll_AZ,1)+MATCH("Arbeitszeit 1 ab",Voreinstellung_Übersicht!B:B,0)-1,4,,,"Voreinstellung_Übersicht"),TRUE))</f>
        <v>1.6666666666666665</v>
      </c>
      <c r="BF31" s="1">
        <f t="shared" si="42"/>
        <v>0</v>
      </c>
    </row>
    <row r="32" spans="1:58" s="1" customFormat="1" ht="15" x14ac:dyDescent="0.3">
      <c r="A32" s="218">
        <f t="shared" si="0"/>
        <v>43</v>
      </c>
      <c r="B32" s="47">
        <f t="shared" si="38"/>
        <v>42301</v>
      </c>
      <c r="C32" s="219">
        <f t="shared" si="1"/>
        <v>1</v>
      </c>
      <c r="D32" s="220" t="str">
        <f t="shared" si="2"/>
        <v/>
      </c>
      <c r="E32" s="298" t="str">
        <f t="shared" si="3"/>
        <v/>
      </c>
      <c r="F32" s="87">
        <f t="shared" si="4"/>
        <v>42301</v>
      </c>
      <c r="G32" s="147"/>
      <c r="H32" s="74"/>
      <c r="I32" s="75"/>
      <c r="J32" s="221">
        <f t="shared" si="5"/>
        <v>0</v>
      </c>
      <c r="K32" s="76"/>
      <c r="L32" s="221">
        <f t="shared" si="43"/>
        <v>0</v>
      </c>
      <c r="M32" s="74"/>
      <c r="N32" s="75"/>
      <c r="O32" s="221">
        <f t="shared" si="6"/>
        <v>0</v>
      </c>
      <c r="P32" s="76"/>
      <c r="Q32" s="221">
        <f t="shared" si="44"/>
        <v>0</v>
      </c>
      <c r="R32" s="221">
        <f t="shared" si="45"/>
        <v>0</v>
      </c>
      <c r="S32" s="221">
        <f t="shared" si="7"/>
        <v>0</v>
      </c>
      <c r="T32" s="79">
        <f t="shared" si="8"/>
        <v>0</v>
      </c>
      <c r="U32" s="79">
        <f t="shared" si="39"/>
        <v>0</v>
      </c>
      <c r="V32" s="80">
        <f t="shared" ca="1" si="9"/>
        <v>0.33333333329999998</v>
      </c>
      <c r="W32" s="249" t="str">
        <f t="shared" ca="1" si="10"/>
        <v/>
      </c>
      <c r="X32" s="293"/>
      <c r="Y32" s="221">
        <f t="shared" si="11"/>
        <v>0</v>
      </c>
      <c r="Z32" s="299">
        <f ca="1">IF(B32="","",INDIRECT(ADDRESS(MATCH(B32,Soll_AZ,1)+MATCH("Arbeitszeit 1 ab",Voreinstellung_Übersicht!B:B,0)-1,WEEKDAY(B32,2)+4,,,"Voreinstellung_Übersicht"),TRUE))</f>
        <v>0.33333333333333331</v>
      </c>
      <c r="AA32" s="300">
        <f t="shared" ca="1" si="40"/>
        <v>0</v>
      </c>
      <c r="AB32" s="219">
        <f t="shared" si="12"/>
        <v>0</v>
      </c>
      <c r="AC32" s="219">
        <f t="shared" si="13"/>
        <v>0</v>
      </c>
      <c r="AD32" s="219">
        <f t="shared" si="14"/>
        <v>0</v>
      </c>
      <c r="AE32" s="219">
        <f t="shared" si="15"/>
        <v>0</v>
      </c>
      <c r="AF32" s="219">
        <f t="shared" si="16"/>
        <v>0</v>
      </c>
      <c r="AG32" s="219">
        <f t="shared" si="17"/>
        <v>0</v>
      </c>
      <c r="AH32" s="219">
        <f t="shared" si="18"/>
        <v>0</v>
      </c>
      <c r="AI32" s="219">
        <f t="shared" si="19"/>
        <v>0</v>
      </c>
      <c r="AJ32" s="219">
        <f t="shared" si="20"/>
        <v>0</v>
      </c>
      <c r="AK32" s="219">
        <f t="shared" si="21"/>
        <v>0</v>
      </c>
      <c r="AL32" s="219">
        <f t="shared" si="22"/>
        <v>0</v>
      </c>
      <c r="AM32" s="219">
        <f t="shared" si="23"/>
        <v>0</v>
      </c>
      <c r="AN32" s="301">
        <f t="shared" si="24"/>
        <v>0</v>
      </c>
      <c r="AO32" s="301">
        <f t="shared" si="25"/>
        <v>0</v>
      </c>
      <c r="AP32" s="301">
        <f t="shared" si="26"/>
        <v>0</v>
      </c>
      <c r="AQ32" s="301">
        <f t="shared" si="27"/>
        <v>0</v>
      </c>
      <c r="AR32" s="301">
        <f t="shared" si="28"/>
        <v>0</v>
      </c>
      <c r="AS32" s="301">
        <f t="shared" si="29"/>
        <v>0</v>
      </c>
      <c r="AT32" s="302">
        <f t="shared" si="30"/>
        <v>0</v>
      </c>
      <c r="AU32" s="302">
        <f t="shared" si="31"/>
        <v>0</v>
      </c>
      <c r="AV32" s="81">
        <f t="shared" si="32"/>
        <v>0</v>
      </c>
      <c r="AW32" s="82">
        <f t="shared" si="33"/>
        <v>0</v>
      </c>
      <c r="AX32" s="81">
        <f t="shared" si="34"/>
        <v>0</v>
      </c>
      <c r="AY32" s="83">
        <f t="shared" si="35"/>
        <v>0</v>
      </c>
      <c r="AZ32" s="83">
        <f t="shared" si="36"/>
        <v>0</v>
      </c>
      <c r="BA32" s="82">
        <f>IF(OR(B32=Feiertage!$A$16,B32=Feiertage!$A$19),U32*Zuschläge_24_31/100,IF(AZ32&gt;0,AZ32*Feiertag_mit/100,IF(AX32&gt;0,AX32*Zuschläge_Sa/100,IF(AY32&gt;0,AY32*Zuschlag_So/100,0))))</f>
        <v>0</v>
      </c>
      <c r="BB32" s="82">
        <f>IF(AND(B32&lt;&gt;0,G32=Voreinstellung_Übersicht!$D$41),IF(EG=1,W32*Über_klein/100,IF(EG=2,W32*Über_groß/100,"Fehler")),0)</f>
        <v>0</v>
      </c>
      <c r="BC32" s="299">
        <f t="shared" ca="1" si="41"/>
        <v>0</v>
      </c>
      <c r="BD32" s="219">
        <f t="shared" ca="1" si="37"/>
        <v>1</v>
      </c>
      <c r="BE32" s="303">
        <f ca="1">IF(B32="","",INDIRECT(ADDRESS(MATCH(B32,Soll_AZ,1)+MATCH("Arbeitszeit 1 ab",Voreinstellung_Übersicht!B:B,0)-1,4,,,"Voreinstellung_Übersicht"),TRUE))</f>
        <v>1.6666666666666665</v>
      </c>
      <c r="BF32" s="1">
        <f t="shared" si="42"/>
        <v>0</v>
      </c>
    </row>
    <row r="33" spans="1:104" s="1" customFormat="1" ht="15" x14ac:dyDescent="0.3">
      <c r="A33" s="218">
        <f t="shared" si="0"/>
        <v>43</v>
      </c>
      <c r="B33" s="47">
        <f t="shared" si="38"/>
        <v>42302</v>
      </c>
      <c r="C33" s="219">
        <f t="shared" si="1"/>
        <v>0</v>
      </c>
      <c r="D33" s="220" t="str">
        <f t="shared" si="2"/>
        <v/>
      </c>
      <c r="E33" s="298" t="str">
        <f t="shared" si="3"/>
        <v/>
      </c>
      <c r="F33" s="87">
        <f t="shared" si="4"/>
        <v>42302</v>
      </c>
      <c r="G33" s="147"/>
      <c r="H33" s="74"/>
      <c r="I33" s="75"/>
      <c r="J33" s="221">
        <f t="shared" si="5"/>
        <v>0</v>
      </c>
      <c r="K33" s="76"/>
      <c r="L33" s="221">
        <f t="shared" si="43"/>
        <v>0</v>
      </c>
      <c r="M33" s="74"/>
      <c r="N33" s="75"/>
      <c r="O33" s="221">
        <f t="shared" si="6"/>
        <v>0</v>
      </c>
      <c r="P33" s="76"/>
      <c r="Q33" s="221">
        <f t="shared" si="44"/>
        <v>0</v>
      </c>
      <c r="R33" s="221">
        <f t="shared" si="45"/>
        <v>0</v>
      </c>
      <c r="S33" s="221">
        <f t="shared" si="7"/>
        <v>0</v>
      </c>
      <c r="T33" s="79">
        <f t="shared" si="8"/>
        <v>0</v>
      </c>
      <c r="U33" s="79">
        <f t="shared" si="39"/>
        <v>0</v>
      </c>
      <c r="V33" s="80">
        <f t="shared" ca="1" si="9"/>
        <v>0</v>
      </c>
      <c r="W33" s="249" t="str">
        <f t="shared" ca="1" si="10"/>
        <v/>
      </c>
      <c r="X33" s="293"/>
      <c r="Y33" s="221">
        <f t="shared" si="11"/>
        <v>0</v>
      </c>
      <c r="Z33" s="299">
        <f ca="1">IF(B33="","",INDIRECT(ADDRESS(MATCH(B33,Soll_AZ,1)+MATCH("Arbeitszeit 1 ab",Voreinstellung_Übersicht!B:B,0)-1,WEEKDAY(B33,2)+4,,,"Voreinstellung_Übersicht"),TRUE))</f>
        <v>0</v>
      </c>
      <c r="AA33" s="300">
        <f t="shared" ca="1" si="40"/>
        <v>0</v>
      </c>
      <c r="AB33" s="219">
        <f t="shared" si="12"/>
        <v>0</v>
      </c>
      <c r="AC33" s="219">
        <f t="shared" si="13"/>
        <v>0</v>
      </c>
      <c r="AD33" s="219">
        <f t="shared" si="14"/>
        <v>0</v>
      </c>
      <c r="AE33" s="219">
        <f t="shared" si="15"/>
        <v>0</v>
      </c>
      <c r="AF33" s="219">
        <f t="shared" si="16"/>
        <v>0</v>
      </c>
      <c r="AG33" s="219">
        <f t="shared" si="17"/>
        <v>0</v>
      </c>
      <c r="AH33" s="219">
        <f t="shared" si="18"/>
        <v>0</v>
      </c>
      <c r="AI33" s="219">
        <f t="shared" si="19"/>
        <v>0</v>
      </c>
      <c r="AJ33" s="219">
        <f t="shared" si="20"/>
        <v>0</v>
      </c>
      <c r="AK33" s="219">
        <f t="shared" si="21"/>
        <v>0</v>
      </c>
      <c r="AL33" s="219">
        <f t="shared" si="22"/>
        <v>0</v>
      </c>
      <c r="AM33" s="219">
        <f t="shared" si="23"/>
        <v>0</v>
      </c>
      <c r="AN33" s="301">
        <f t="shared" si="24"/>
        <v>0</v>
      </c>
      <c r="AO33" s="301">
        <f t="shared" si="25"/>
        <v>0</v>
      </c>
      <c r="AP33" s="301">
        <f t="shared" si="26"/>
        <v>0</v>
      </c>
      <c r="AQ33" s="301">
        <f t="shared" si="27"/>
        <v>0</v>
      </c>
      <c r="AR33" s="301">
        <f t="shared" si="28"/>
        <v>0</v>
      </c>
      <c r="AS33" s="301">
        <f t="shared" si="29"/>
        <v>0</v>
      </c>
      <c r="AT33" s="302">
        <f t="shared" si="30"/>
        <v>0</v>
      </c>
      <c r="AU33" s="302">
        <f t="shared" si="31"/>
        <v>0</v>
      </c>
      <c r="AV33" s="81">
        <f t="shared" si="32"/>
        <v>0</v>
      </c>
      <c r="AW33" s="82">
        <f t="shared" si="33"/>
        <v>0</v>
      </c>
      <c r="AX33" s="81">
        <f t="shared" si="34"/>
        <v>0</v>
      </c>
      <c r="AY33" s="83">
        <f t="shared" si="35"/>
        <v>0</v>
      </c>
      <c r="AZ33" s="83">
        <f t="shared" si="36"/>
        <v>0</v>
      </c>
      <c r="BA33" s="82">
        <f>IF(OR(B33=Feiertage!$A$16,B33=Feiertage!$A$19),U33*Zuschläge_24_31/100,IF(AZ33&gt;0,AZ33*Feiertag_mit/100,IF(AX33&gt;0,AX33*Zuschläge_Sa/100,IF(AY33&gt;0,AY33*Zuschlag_So/100,0))))</f>
        <v>0</v>
      </c>
      <c r="BB33" s="82">
        <f>IF(AND(B33&lt;&gt;0,G33=Voreinstellung_Übersicht!$D$41),IF(EG=1,W33*Über_klein/100,IF(EG=2,W33*Über_groß/100,"Fehler")),0)</f>
        <v>0</v>
      </c>
      <c r="BC33" s="299">
        <f t="shared" ca="1" si="41"/>
        <v>0</v>
      </c>
      <c r="BD33" s="219">
        <f t="shared" ca="1" si="37"/>
        <v>1</v>
      </c>
      <c r="BE33" s="303">
        <f ca="1">IF(B33="","",INDIRECT(ADDRESS(MATCH(B33,Soll_AZ,1)+MATCH("Arbeitszeit 1 ab",Voreinstellung_Übersicht!B:B,0)-1,4,,,"Voreinstellung_Übersicht"),TRUE))</f>
        <v>1.6666666666666665</v>
      </c>
      <c r="BF33" s="1">
        <f t="shared" si="42"/>
        <v>0</v>
      </c>
    </row>
    <row r="34" spans="1:104" s="1" customFormat="1" ht="15" x14ac:dyDescent="0.3">
      <c r="A34" s="218">
        <f t="shared" si="0"/>
        <v>44</v>
      </c>
      <c r="B34" s="47">
        <f t="shared" si="38"/>
        <v>42303</v>
      </c>
      <c r="C34" s="219">
        <f t="shared" si="1"/>
        <v>0</v>
      </c>
      <c r="D34" s="220" t="str">
        <f t="shared" si="2"/>
        <v/>
      </c>
      <c r="E34" s="298" t="str">
        <f t="shared" si="3"/>
        <v/>
      </c>
      <c r="F34" s="87">
        <f t="shared" si="4"/>
        <v>42303</v>
      </c>
      <c r="G34" s="147"/>
      <c r="H34" s="74"/>
      <c r="I34" s="75"/>
      <c r="J34" s="221">
        <f t="shared" si="5"/>
        <v>0</v>
      </c>
      <c r="K34" s="76"/>
      <c r="L34" s="221">
        <f t="shared" si="43"/>
        <v>0</v>
      </c>
      <c r="M34" s="74"/>
      <c r="N34" s="75"/>
      <c r="O34" s="221">
        <f t="shared" si="6"/>
        <v>0</v>
      </c>
      <c r="P34" s="76"/>
      <c r="Q34" s="221">
        <f t="shared" si="44"/>
        <v>0</v>
      </c>
      <c r="R34" s="221">
        <f t="shared" si="45"/>
        <v>0</v>
      </c>
      <c r="S34" s="221">
        <f t="shared" si="7"/>
        <v>0</v>
      </c>
      <c r="T34" s="79">
        <f t="shared" si="8"/>
        <v>0</v>
      </c>
      <c r="U34" s="79">
        <f t="shared" si="39"/>
        <v>0</v>
      </c>
      <c r="V34" s="80">
        <f t="shared" ca="1" si="9"/>
        <v>0</v>
      </c>
      <c r="W34" s="249" t="str">
        <f t="shared" ca="1" si="10"/>
        <v/>
      </c>
      <c r="X34" s="293"/>
      <c r="Y34" s="221">
        <f t="shared" si="11"/>
        <v>0</v>
      </c>
      <c r="Z34" s="299">
        <f ca="1">IF(B34="","",INDIRECT(ADDRESS(MATCH(B34,Soll_AZ,1)+MATCH("Arbeitszeit 1 ab",Voreinstellung_Übersicht!B:B,0)-1,WEEKDAY(B34,2)+4,,,"Voreinstellung_Übersicht"),TRUE))</f>
        <v>0</v>
      </c>
      <c r="AA34" s="300">
        <f t="shared" ca="1" si="40"/>
        <v>0</v>
      </c>
      <c r="AB34" s="219">
        <f t="shared" si="12"/>
        <v>0</v>
      </c>
      <c r="AC34" s="219">
        <f t="shared" si="13"/>
        <v>0</v>
      </c>
      <c r="AD34" s="219">
        <f t="shared" si="14"/>
        <v>0</v>
      </c>
      <c r="AE34" s="219">
        <f t="shared" si="15"/>
        <v>0</v>
      </c>
      <c r="AF34" s="219">
        <f t="shared" si="16"/>
        <v>0</v>
      </c>
      <c r="AG34" s="219">
        <f t="shared" si="17"/>
        <v>0</v>
      </c>
      <c r="AH34" s="219">
        <f t="shared" si="18"/>
        <v>0</v>
      </c>
      <c r="AI34" s="219">
        <f t="shared" si="19"/>
        <v>0</v>
      </c>
      <c r="AJ34" s="219">
        <f t="shared" si="20"/>
        <v>0</v>
      </c>
      <c r="AK34" s="219">
        <f t="shared" si="21"/>
        <v>0</v>
      </c>
      <c r="AL34" s="219">
        <f t="shared" si="22"/>
        <v>0</v>
      </c>
      <c r="AM34" s="219">
        <f t="shared" si="23"/>
        <v>0</v>
      </c>
      <c r="AN34" s="301">
        <f t="shared" si="24"/>
        <v>0</v>
      </c>
      <c r="AO34" s="301">
        <f t="shared" si="25"/>
        <v>0</v>
      </c>
      <c r="AP34" s="301">
        <f t="shared" si="26"/>
        <v>0</v>
      </c>
      <c r="AQ34" s="301">
        <f t="shared" si="27"/>
        <v>0</v>
      </c>
      <c r="AR34" s="301">
        <f t="shared" si="28"/>
        <v>0</v>
      </c>
      <c r="AS34" s="301">
        <f t="shared" si="29"/>
        <v>0</v>
      </c>
      <c r="AT34" s="302">
        <f t="shared" si="30"/>
        <v>0</v>
      </c>
      <c r="AU34" s="302">
        <f t="shared" si="31"/>
        <v>0</v>
      </c>
      <c r="AV34" s="81">
        <f t="shared" si="32"/>
        <v>0</v>
      </c>
      <c r="AW34" s="82">
        <f t="shared" si="33"/>
        <v>0</v>
      </c>
      <c r="AX34" s="81">
        <f t="shared" si="34"/>
        <v>0</v>
      </c>
      <c r="AY34" s="83">
        <f t="shared" si="35"/>
        <v>0</v>
      </c>
      <c r="AZ34" s="83">
        <f t="shared" si="36"/>
        <v>0</v>
      </c>
      <c r="BA34" s="82">
        <f>IF(OR(B34=Feiertage!$A$16,B34=Feiertage!$A$19),U34*Zuschläge_24_31/100,IF(AZ34&gt;0,AZ34*Feiertag_mit/100,IF(AX34&gt;0,AX34*Zuschläge_Sa/100,IF(AY34&gt;0,AY34*Zuschlag_So/100,0))))</f>
        <v>0</v>
      </c>
      <c r="BB34" s="82">
        <f>IF(AND(B34&lt;&gt;0,G34=Voreinstellung_Übersicht!$D$41),IF(EG=1,W34*Über_klein/100,IF(EG=2,W34*Über_groß/100,"Fehler")),0)</f>
        <v>0</v>
      </c>
      <c r="BC34" s="299">
        <f t="shared" ca="1" si="41"/>
        <v>0</v>
      </c>
      <c r="BD34" s="219">
        <f t="shared" ca="1" si="37"/>
        <v>1</v>
      </c>
      <c r="BE34" s="303">
        <f ca="1">IF(B34="","",INDIRECT(ADDRESS(MATCH(B34,Soll_AZ,1)+MATCH("Arbeitszeit 1 ab",Voreinstellung_Übersicht!B:B,0)-1,4,,,"Voreinstellung_Übersicht"),TRUE))</f>
        <v>1.6666666666666665</v>
      </c>
      <c r="BF34" s="1">
        <f t="shared" si="42"/>
        <v>0</v>
      </c>
    </row>
    <row r="35" spans="1:104" s="1" customFormat="1" ht="15" x14ac:dyDescent="0.3">
      <c r="A35" s="218">
        <f t="shared" si="0"/>
        <v>44</v>
      </c>
      <c r="B35" s="47">
        <f t="shared" si="38"/>
        <v>42304</v>
      </c>
      <c r="C35" s="219">
        <f t="shared" si="1"/>
        <v>1</v>
      </c>
      <c r="D35" s="220" t="str">
        <f t="shared" si="2"/>
        <v/>
      </c>
      <c r="E35" s="298" t="str">
        <f t="shared" si="3"/>
        <v/>
      </c>
      <c r="F35" s="87">
        <f t="shared" si="4"/>
        <v>42304</v>
      </c>
      <c r="G35" s="147"/>
      <c r="H35" s="74"/>
      <c r="I35" s="75"/>
      <c r="J35" s="221">
        <f t="shared" si="5"/>
        <v>0</v>
      </c>
      <c r="K35" s="76"/>
      <c r="L35" s="221">
        <f t="shared" si="43"/>
        <v>0</v>
      </c>
      <c r="M35" s="74"/>
      <c r="N35" s="75"/>
      <c r="O35" s="221">
        <f t="shared" si="6"/>
        <v>0</v>
      </c>
      <c r="P35" s="76"/>
      <c r="Q35" s="221">
        <f t="shared" si="44"/>
        <v>0</v>
      </c>
      <c r="R35" s="221">
        <f t="shared" si="45"/>
        <v>0</v>
      </c>
      <c r="S35" s="221">
        <f t="shared" si="7"/>
        <v>0</v>
      </c>
      <c r="T35" s="79">
        <f t="shared" si="8"/>
        <v>0</v>
      </c>
      <c r="U35" s="79">
        <f t="shared" si="39"/>
        <v>0</v>
      </c>
      <c r="V35" s="80">
        <f t="shared" ca="1" si="9"/>
        <v>0.33333333329999998</v>
      </c>
      <c r="W35" s="249" t="str">
        <f t="shared" ca="1" si="10"/>
        <v/>
      </c>
      <c r="X35" s="293"/>
      <c r="Y35" s="221">
        <f t="shared" si="11"/>
        <v>0</v>
      </c>
      <c r="Z35" s="299">
        <f ca="1">IF(B35="","",INDIRECT(ADDRESS(MATCH(B35,Soll_AZ,1)+MATCH("Arbeitszeit 1 ab",Voreinstellung_Übersicht!B:B,0)-1,WEEKDAY(B35,2)+4,,,"Voreinstellung_Übersicht"),TRUE))</f>
        <v>0.33333333333333331</v>
      </c>
      <c r="AA35" s="300">
        <f t="shared" ca="1" si="40"/>
        <v>0</v>
      </c>
      <c r="AB35" s="219">
        <f t="shared" si="12"/>
        <v>0</v>
      </c>
      <c r="AC35" s="219">
        <f t="shared" si="13"/>
        <v>0</v>
      </c>
      <c r="AD35" s="219">
        <f t="shared" si="14"/>
        <v>0</v>
      </c>
      <c r="AE35" s="219">
        <f t="shared" si="15"/>
        <v>0</v>
      </c>
      <c r="AF35" s="219">
        <f t="shared" si="16"/>
        <v>0</v>
      </c>
      <c r="AG35" s="219">
        <f t="shared" si="17"/>
        <v>0</v>
      </c>
      <c r="AH35" s="219">
        <f t="shared" si="18"/>
        <v>0</v>
      </c>
      <c r="AI35" s="219">
        <f t="shared" si="19"/>
        <v>0</v>
      </c>
      <c r="AJ35" s="219">
        <f t="shared" si="20"/>
        <v>0</v>
      </c>
      <c r="AK35" s="219">
        <f t="shared" si="21"/>
        <v>0</v>
      </c>
      <c r="AL35" s="219">
        <f t="shared" si="22"/>
        <v>0</v>
      </c>
      <c r="AM35" s="219">
        <f t="shared" si="23"/>
        <v>0</v>
      </c>
      <c r="AN35" s="301">
        <f t="shared" si="24"/>
        <v>0</v>
      </c>
      <c r="AO35" s="301">
        <f t="shared" si="25"/>
        <v>0</v>
      </c>
      <c r="AP35" s="301">
        <f t="shared" si="26"/>
        <v>0</v>
      </c>
      <c r="AQ35" s="301">
        <f t="shared" si="27"/>
        <v>0</v>
      </c>
      <c r="AR35" s="301">
        <f t="shared" si="28"/>
        <v>0</v>
      </c>
      <c r="AS35" s="301">
        <f t="shared" si="29"/>
        <v>0</v>
      </c>
      <c r="AT35" s="302">
        <f t="shared" si="30"/>
        <v>0</v>
      </c>
      <c r="AU35" s="302">
        <f t="shared" si="31"/>
        <v>0</v>
      </c>
      <c r="AV35" s="81">
        <f t="shared" si="32"/>
        <v>0</v>
      </c>
      <c r="AW35" s="82">
        <f t="shared" si="33"/>
        <v>0</v>
      </c>
      <c r="AX35" s="81">
        <f t="shared" si="34"/>
        <v>0</v>
      </c>
      <c r="AY35" s="83">
        <f t="shared" si="35"/>
        <v>0</v>
      </c>
      <c r="AZ35" s="83">
        <f t="shared" si="36"/>
        <v>0</v>
      </c>
      <c r="BA35" s="82">
        <f>IF(OR(B35=Feiertage!$A$16,B35=Feiertage!$A$19),U35*Zuschläge_24_31/100,IF(AZ35&gt;0,AZ35*Feiertag_mit/100,IF(AX35&gt;0,AX35*Zuschläge_Sa/100,IF(AY35&gt;0,AY35*Zuschlag_So/100,0))))</f>
        <v>0</v>
      </c>
      <c r="BB35" s="82">
        <f>IF(AND(B35&lt;&gt;0,G35=Voreinstellung_Übersicht!$D$41),IF(EG=1,W35*Über_klein/100,IF(EG=2,W35*Über_groß/100,"Fehler")),0)</f>
        <v>0</v>
      </c>
      <c r="BC35" s="299">
        <f t="shared" ca="1" si="41"/>
        <v>0</v>
      </c>
      <c r="BD35" s="219">
        <f t="shared" ca="1" si="37"/>
        <v>1</v>
      </c>
      <c r="BE35" s="303">
        <f ca="1">IF(B35="","",INDIRECT(ADDRESS(MATCH(B35,Soll_AZ,1)+MATCH("Arbeitszeit 1 ab",Voreinstellung_Übersicht!B:B,0)-1,4,,,"Voreinstellung_Übersicht"),TRUE))</f>
        <v>1.6666666666666665</v>
      </c>
      <c r="BF35" s="1">
        <f t="shared" si="42"/>
        <v>0</v>
      </c>
    </row>
    <row r="36" spans="1:104" s="1" customFormat="1" ht="15" x14ac:dyDescent="0.3">
      <c r="A36" s="218">
        <f t="shared" si="0"/>
        <v>44</v>
      </c>
      <c r="B36" s="47">
        <f t="shared" si="38"/>
        <v>42305</v>
      </c>
      <c r="C36" s="219">
        <f t="shared" si="1"/>
        <v>1</v>
      </c>
      <c r="D36" s="220" t="str">
        <f t="shared" si="2"/>
        <v/>
      </c>
      <c r="E36" s="298" t="str">
        <f t="shared" si="3"/>
        <v/>
      </c>
      <c r="F36" s="87">
        <f t="shared" si="4"/>
        <v>42305</v>
      </c>
      <c r="G36" s="147"/>
      <c r="H36" s="74"/>
      <c r="I36" s="75"/>
      <c r="J36" s="221">
        <f t="shared" si="5"/>
        <v>0</v>
      </c>
      <c r="K36" s="76"/>
      <c r="L36" s="221">
        <f t="shared" si="43"/>
        <v>0</v>
      </c>
      <c r="M36" s="74"/>
      <c r="N36" s="75"/>
      <c r="O36" s="221">
        <f t="shared" si="6"/>
        <v>0</v>
      </c>
      <c r="P36" s="76"/>
      <c r="Q36" s="221">
        <f t="shared" si="44"/>
        <v>0</v>
      </c>
      <c r="R36" s="221">
        <f t="shared" si="45"/>
        <v>0</v>
      </c>
      <c r="S36" s="221">
        <f t="shared" si="7"/>
        <v>0</v>
      </c>
      <c r="T36" s="79">
        <f t="shared" si="8"/>
        <v>0</v>
      </c>
      <c r="U36" s="79">
        <f t="shared" si="39"/>
        <v>0</v>
      </c>
      <c r="V36" s="80">
        <f t="shared" ca="1" si="9"/>
        <v>0.33333333329999998</v>
      </c>
      <c r="W36" s="249" t="str">
        <f t="shared" ca="1" si="10"/>
        <v/>
      </c>
      <c r="X36" s="293"/>
      <c r="Y36" s="221">
        <f t="shared" si="11"/>
        <v>0</v>
      </c>
      <c r="Z36" s="299">
        <f ca="1">IF(B36="","",INDIRECT(ADDRESS(MATCH(B36,Soll_AZ,1)+MATCH("Arbeitszeit 1 ab",Voreinstellung_Übersicht!B:B,0)-1,WEEKDAY(B36,2)+4,,,"Voreinstellung_Übersicht"),TRUE))</f>
        <v>0.33333333333333331</v>
      </c>
      <c r="AA36" s="300">
        <f t="shared" ca="1" si="40"/>
        <v>0</v>
      </c>
      <c r="AB36" s="219">
        <f t="shared" si="12"/>
        <v>0</v>
      </c>
      <c r="AC36" s="219">
        <f t="shared" si="13"/>
        <v>0</v>
      </c>
      <c r="AD36" s="219">
        <f t="shared" si="14"/>
        <v>0</v>
      </c>
      <c r="AE36" s="219">
        <f t="shared" si="15"/>
        <v>0</v>
      </c>
      <c r="AF36" s="219">
        <f t="shared" si="16"/>
        <v>0</v>
      </c>
      <c r="AG36" s="219">
        <f t="shared" si="17"/>
        <v>0</v>
      </c>
      <c r="AH36" s="219">
        <f t="shared" si="18"/>
        <v>0</v>
      </c>
      <c r="AI36" s="219">
        <f t="shared" si="19"/>
        <v>0</v>
      </c>
      <c r="AJ36" s="219">
        <f t="shared" si="20"/>
        <v>0</v>
      </c>
      <c r="AK36" s="219">
        <f t="shared" si="21"/>
        <v>0</v>
      </c>
      <c r="AL36" s="219">
        <f t="shared" si="22"/>
        <v>0</v>
      </c>
      <c r="AM36" s="219">
        <f t="shared" si="23"/>
        <v>0</v>
      </c>
      <c r="AN36" s="301">
        <f t="shared" si="24"/>
        <v>0</v>
      </c>
      <c r="AO36" s="301">
        <f t="shared" si="25"/>
        <v>0</v>
      </c>
      <c r="AP36" s="301">
        <f t="shared" si="26"/>
        <v>0</v>
      </c>
      <c r="AQ36" s="301">
        <f t="shared" si="27"/>
        <v>0</v>
      </c>
      <c r="AR36" s="301">
        <f t="shared" si="28"/>
        <v>0</v>
      </c>
      <c r="AS36" s="301">
        <f t="shared" si="29"/>
        <v>0</v>
      </c>
      <c r="AT36" s="302">
        <f t="shared" si="30"/>
        <v>0</v>
      </c>
      <c r="AU36" s="302">
        <f t="shared" si="31"/>
        <v>0</v>
      </c>
      <c r="AV36" s="81">
        <f t="shared" si="32"/>
        <v>0</v>
      </c>
      <c r="AW36" s="82">
        <f t="shared" si="33"/>
        <v>0</v>
      </c>
      <c r="AX36" s="81">
        <f t="shared" si="34"/>
        <v>0</v>
      </c>
      <c r="AY36" s="83">
        <f t="shared" si="35"/>
        <v>0</v>
      </c>
      <c r="AZ36" s="83">
        <f t="shared" si="36"/>
        <v>0</v>
      </c>
      <c r="BA36" s="82">
        <f>IF(OR(B36=Feiertage!$A$16,B36=Feiertage!$A$19),U36*Zuschläge_24_31/100,IF(AZ36&gt;0,AZ36*Feiertag_mit/100,IF(AX36&gt;0,AX36*Zuschläge_Sa/100,IF(AY36&gt;0,AY36*Zuschlag_So/100,0))))</f>
        <v>0</v>
      </c>
      <c r="BB36" s="82">
        <f>IF(AND(B36&lt;&gt;0,G36=Voreinstellung_Übersicht!$D$41),IF(EG=1,W36*Über_klein/100,IF(EG=2,W36*Über_groß/100,"Fehler")),0)</f>
        <v>0</v>
      </c>
      <c r="BC36" s="299">
        <f t="shared" ca="1" si="41"/>
        <v>0</v>
      </c>
      <c r="BD36" s="219">
        <f t="shared" ca="1" si="37"/>
        <v>1</v>
      </c>
      <c r="BE36" s="303">
        <f ca="1">IF(B36="","",INDIRECT(ADDRESS(MATCH(B36,Soll_AZ,1)+MATCH("Arbeitszeit 1 ab",Voreinstellung_Übersicht!B:B,0)-1,4,,,"Voreinstellung_Übersicht"),TRUE))</f>
        <v>1.6666666666666665</v>
      </c>
      <c r="BF36" s="1">
        <f t="shared" si="42"/>
        <v>0</v>
      </c>
    </row>
    <row r="37" spans="1:104" s="1" customFormat="1" ht="15" x14ac:dyDescent="0.3">
      <c r="A37" s="218">
        <f t="shared" si="0"/>
        <v>44</v>
      </c>
      <c r="B37" s="47">
        <f t="shared" si="38"/>
        <v>42306</v>
      </c>
      <c r="C37" s="219">
        <f t="shared" si="1"/>
        <v>1</v>
      </c>
      <c r="D37" s="220" t="str">
        <f t="shared" si="2"/>
        <v/>
      </c>
      <c r="E37" s="298" t="str">
        <f t="shared" si="3"/>
        <v/>
      </c>
      <c r="F37" s="87">
        <f t="shared" si="4"/>
        <v>42306</v>
      </c>
      <c r="G37" s="147"/>
      <c r="H37" s="74"/>
      <c r="I37" s="75"/>
      <c r="J37" s="221">
        <f t="shared" si="5"/>
        <v>0</v>
      </c>
      <c r="K37" s="76"/>
      <c r="L37" s="221">
        <f t="shared" si="43"/>
        <v>0</v>
      </c>
      <c r="M37" s="74"/>
      <c r="N37" s="75"/>
      <c r="O37" s="221">
        <f t="shared" si="6"/>
        <v>0</v>
      </c>
      <c r="P37" s="76"/>
      <c r="Q37" s="221">
        <f t="shared" si="44"/>
        <v>0</v>
      </c>
      <c r="R37" s="221">
        <f t="shared" si="45"/>
        <v>0</v>
      </c>
      <c r="S37" s="221">
        <f t="shared" si="7"/>
        <v>0</v>
      </c>
      <c r="T37" s="79">
        <f t="shared" si="8"/>
        <v>0</v>
      </c>
      <c r="U37" s="79">
        <f t="shared" si="39"/>
        <v>0</v>
      </c>
      <c r="V37" s="80">
        <f t="shared" ca="1" si="9"/>
        <v>0.33333333329999998</v>
      </c>
      <c r="W37" s="249" t="str">
        <f t="shared" ca="1" si="10"/>
        <v/>
      </c>
      <c r="X37" s="293"/>
      <c r="Y37" s="221">
        <f t="shared" si="11"/>
        <v>0</v>
      </c>
      <c r="Z37" s="299">
        <f ca="1">IF(B37="","",INDIRECT(ADDRESS(MATCH(B37,Soll_AZ,1)+MATCH("Arbeitszeit 1 ab",Voreinstellung_Übersicht!B:B,0)-1,WEEKDAY(B37,2)+4,,,"Voreinstellung_Übersicht"),TRUE))</f>
        <v>0.33333333333333331</v>
      </c>
      <c r="AA37" s="300">
        <f t="shared" ca="1" si="40"/>
        <v>0</v>
      </c>
      <c r="AB37" s="219">
        <f t="shared" si="12"/>
        <v>0</v>
      </c>
      <c r="AC37" s="219">
        <f t="shared" si="13"/>
        <v>0</v>
      </c>
      <c r="AD37" s="219">
        <f t="shared" si="14"/>
        <v>0</v>
      </c>
      <c r="AE37" s="219">
        <f t="shared" si="15"/>
        <v>0</v>
      </c>
      <c r="AF37" s="219">
        <f t="shared" si="16"/>
        <v>0</v>
      </c>
      <c r="AG37" s="219">
        <f t="shared" si="17"/>
        <v>0</v>
      </c>
      <c r="AH37" s="219">
        <f t="shared" si="18"/>
        <v>0</v>
      </c>
      <c r="AI37" s="219">
        <f t="shared" si="19"/>
        <v>0</v>
      </c>
      <c r="AJ37" s="219">
        <f t="shared" si="20"/>
        <v>0</v>
      </c>
      <c r="AK37" s="219">
        <f t="shared" si="21"/>
        <v>0</v>
      </c>
      <c r="AL37" s="219">
        <f t="shared" si="22"/>
        <v>0</v>
      </c>
      <c r="AM37" s="219">
        <f t="shared" si="23"/>
        <v>0</v>
      </c>
      <c r="AN37" s="301">
        <f t="shared" si="24"/>
        <v>0</v>
      </c>
      <c r="AO37" s="301">
        <f t="shared" si="25"/>
        <v>0</v>
      </c>
      <c r="AP37" s="301">
        <f t="shared" si="26"/>
        <v>0</v>
      </c>
      <c r="AQ37" s="301">
        <f t="shared" si="27"/>
        <v>0</v>
      </c>
      <c r="AR37" s="301">
        <f t="shared" si="28"/>
        <v>0</v>
      </c>
      <c r="AS37" s="301">
        <f t="shared" si="29"/>
        <v>0</v>
      </c>
      <c r="AT37" s="302">
        <f t="shared" si="30"/>
        <v>0</v>
      </c>
      <c r="AU37" s="302">
        <f t="shared" si="31"/>
        <v>0</v>
      </c>
      <c r="AV37" s="81">
        <f t="shared" si="32"/>
        <v>0</v>
      </c>
      <c r="AW37" s="82">
        <f t="shared" si="33"/>
        <v>0</v>
      </c>
      <c r="AX37" s="81">
        <f t="shared" si="34"/>
        <v>0</v>
      </c>
      <c r="AY37" s="83">
        <f t="shared" si="35"/>
        <v>0</v>
      </c>
      <c r="AZ37" s="83">
        <f t="shared" si="36"/>
        <v>0</v>
      </c>
      <c r="BA37" s="82">
        <f>IF(OR(B37=Feiertage!$A$16,B37=Feiertage!$A$19),U37*Zuschläge_24_31/100,IF(AZ37&gt;0,AZ37*Feiertag_mit/100,IF(AX37&gt;0,AX37*Zuschläge_Sa/100,IF(AY37&gt;0,AY37*Zuschlag_So/100,0))))</f>
        <v>0</v>
      </c>
      <c r="BB37" s="82">
        <f>IF(AND(B37&lt;&gt;0,G37=Voreinstellung_Übersicht!$D$41),IF(EG=1,W37*Über_klein/100,IF(EG=2,W37*Über_groß/100,"Fehler")),0)</f>
        <v>0</v>
      </c>
      <c r="BC37" s="299">
        <f t="shared" ca="1" si="41"/>
        <v>0</v>
      </c>
      <c r="BD37" s="219">
        <f t="shared" ca="1" si="37"/>
        <v>1</v>
      </c>
      <c r="BE37" s="303">
        <f ca="1">IF(B37="","",INDIRECT(ADDRESS(MATCH(B37,Soll_AZ,1)+MATCH("Arbeitszeit 1 ab",Voreinstellung_Übersicht!B:B,0)-1,4,,,"Voreinstellung_Übersicht"),TRUE))</f>
        <v>1.6666666666666665</v>
      </c>
      <c r="BF37" s="1">
        <f t="shared" si="42"/>
        <v>0</v>
      </c>
    </row>
    <row r="38" spans="1:104" s="172" customFormat="1" ht="15" x14ac:dyDescent="0.3">
      <c r="A38" s="229">
        <f t="shared" si="0"/>
        <v>44</v>
      </c>
      <c r="B38" s="217">
        <f t="shared" si="38"/>
        <v>42307</v>
      </c>
      <c r="C38" s="230">
        <f t="shared" si="1"/>
        <v>0</v>
      </c>
      <c r="D38" s="231" t="str">
        <f t="shared" si="2"/>
        <v>Reformationstag</v>
      </c>
      <c r="E38" s="304" t="str">
        <f t="shared" si="3"/>
        <v>Reformationstag</v>
      </c>
      <c r="F38" s="216">
        <f t="shared" si="4"/>
        <v>42307</v>
      </c>
      <c r="G38" s="147"/>
      <c r="H38" s="77"/>
      <c r="I38" s="75"/>
      <c r="J38" s="221">
        <f t="shared" si="5"/>
        <v>0</v>
      </c>
      <c r="K38" s="76"/>
      <c r="L38" s="221">
        <f t="shared" si="43"/>
        <v>0</v>
      </c>
      <c r="M38" s="77"/>
      <c r="N38" s="215"/>
      <c r="O38" s="232">
        <f t="shared" si="6"/>
        <v>0</v>
      </c>
      <c r="P38" s="78"/>
      <c r="Q38" s="221">
        <f t="shared" si="44"/>
        <v>0</v>
      </c>
      <c r="R38" s="221">
        <f t="shared" si="45"/>
        <v>0</v>
      </c>
      <c r="S38" s="221">
        <f t="shared" si="7"/>
        <v>0</v>
      </c>
      <c r="T38" s="79">
        <f t="shared" si="8"/>
        <v>0</v>
      </c>
      <c r="U38" s="79">
        <f t="shared" si="39"/>
        <v>0</v>
      </c>
      <c r="V38" s="80">
        <f t="shared" si="9"/>
        <v>0</v>
      </c>
      <c r="W38" s="249" t="str">
        <f t="shared" si="10"/>
        <v/>
      </c>
      <c r="X38" s="294"/>
      <c r="Y38" s="221">
        <f t="shared" si="11"/>
        <v>0</v>
      </c>
      <c r="Z38" s="299">
        <f ca="1">IF(B38="","",INDIRECT(ADDRESS(MATCH(B38,Soll_AZ,1)+MATCH("Arbeitszeit 1 ab",Voreinstellung_Übersicht!B:B,0)-1,WEEKDAY(B38,2)+4,,,"Voreinstellung_Übersicht"),TRUE))</f>
        <v>0.33333333333333331</v>
      </c>
      <c r="AA38" s="300">
        <f t="shared" ca="1" si="40"/>
        <v>0</v>
      </c>
      <c r="AB38" s="219">
        <f t="shared" si="12"/>
        <v>0</v>
      </c>
      <c r="AC38" s="219">
        <f t="shared" si="13"/>
        <v>0</v>
      </c>
      <c r="AD38" s="219">
        <f t="shared" si="14"/>
        <v>0</v>
      </c>
      <c r="AE38" s="219">
        <f t="shared" si="15"/>
        <v>0</v>
      </c>
      <c r="AF38" s="219">
        <f t="shared" si="16"/>
        <v>0</v>
      </c>
      <c r="AG38" s="219">
        <f t="shared" si="17"/>
        <v>0</v>
      </c>
      <c r="AH38" s="219">
        <f t="shared" si="18"/>
        <v>0</v>
      </c>
      <c r="AI38" s="219">
        <f t="shared" si="19"/>
        <v>0</v>
      </c>
      <c r="AJ38" s="219">
        <f t="shared" si="20"/>
        <v>0</v>
      </c>
      <c r="AK38" s="219">
        <f t="shared" si="21"/>
        <v>0</v>
      </c>
      <c r="AL38" s="219">
        <f t="shared" si="22"/>
        <v>0</v>
      </c>
      <c r="AM38" s="219">
        <f t="shared" si="23"/>
        <v>0</v>
      </c>
      <c r="AN38" s="301">
        <f t="shared" si="24"/>
        <v>0</v>
      </c>
      <c r="AO38" s="301">
        <f t="shared" si="25"/>
        <v>0</v>
      </c>
      <c r="AP38" s="301">
        <f t="shared" si="26"/>
        <v>0</v>
      </c>
      <c r="AQ38" s="301">
        <f t="shared" si="27"/>
        <v>0</v>
      </c>
      <c r="AR38" s="301">
        <f t="shared" si="28"/>
        <v>0</v>
      </c>
      <c r="AS38" s="301">
        <f t="shared" si="29"/>
        <v>0</v>
      </c>
      <c r="AT38" s="302">
        <f t="shared" si="30"/>
        <v>0</v>
      </c>
      <c r="AU38" s="302">
        <f t="shared" si="31"/>
        <v>0</v>
      </c>
      <c r="AV38" s="81">
        <f t="shared" si="32"/>
        <v>0</v>
      </c>
      <c r="AW38" s="82">
        <f t="shared" si="33"/>
        <v>0</v>
      </c>
      <c r="AX38" s="81">
        <f t="shared" si="34"/>
        <v>0</v>
      </c>
      <c r="AY38" s="212">
        <f t="shared" si="35"/>
        <v>0</v>
      </c>
      <c r="AZ38" s="212">
        <f t="shared" si="36"/>
        <v>0</v>
      </c>
      <c r="BA38" s="213">
        <f>IF(OR(B38=Feiertage!$A$16,B38=Feiertage!$A$19),U38*Zuschläge_24_31/100,IF(AZ38&gt;0,AZ38*Feiertag_mit/100,IF(AX38&gt;0,AX38*Zuschläge_Sa/100,IF(AY38&gt;0,AY38*Zuschlag_So/100,0))))</f>
        <v>0</v>
      </c>
      <c r="BB38" s="213">
        <f>IF(AND(B38&lt;&gt;0,G38=Voreinstellung_Übersicht!$D$41),IF(EG=1,W38*Über_klein/100,IF(EG=2,W38*Über_groß/100,"Fehler")),0)</f>
        <v>0</v>
      </c>
      <c r="BC38" s="305">
        <f t="shared" ca="1" si="41"/>
        <v>0</v>
      </c>
      <c r="BD38" s="219">
        <f t="shared" ca="1" si="37"/>
        <v>1</v>
      </c>
      <c r="BE38" s="306">
        <f ca="1">IF(B38="","",INDIRECT(ADDRESS(MATCH(B38,Soll_AZ,1)+MATCH("Arbeitszeit 1 ab",Voreinstellung_Übersicht!B:B,0)-1,4,,,"Voreinstellung_Übersicht"),TRUE))</f>
        <v>1.6666666666666665</v>
      </c>
      <c r="BF38" s="1">
        <f t="shared" si="42"/>
        <v>0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5" x14ac:dyDescent="0.25">
      <c r="A39" s="233"/>
      <c r="B39" s="233"/>
      <c r="C39" s="233"/>
      <c r="D39" s="233"/>
      <c r="E39" s="233"/>
      <c r="F39" s="488" t="s">
        <v>49</v>
      </c>
      <c r="G39" s="489"/>
      <c r="H39" s="482" t="s">
        <v>171</v>
      </c>
      <c r="I39" s="483"/>
      <c r="J39" s="307"/>
      <c r="K39" s="308">
        <f>AB39</f>
        <v>0</v>
      </c>
      <c r="L39" s="221"/>
      <c r="M39" s="206"/>
      <c r="N39" s="206"/>
      <c r="O39" s="221"/>
      <c r="P39" s="206"/>
      <c r="Q39" s="221"/>
      <c r="R39" s="221"/>
      <c r="S39" s="221"/>
      <c r="T39" s="479" t="s">
        <v>172</v>
      </c>
      <c r="U39" s="482" t="s">
        <v>171</v>
      </c>
      <c r="V39" s="483"/>
      <c r="W39" s="234">
        <f ca="1">Sep!W41</f>
        <v>0</v>
      </c>
      <c r="X39" s="309"/>
      <c r="Y39" s="221" t="s">
        <v>173</v>
      </c>
      <c r="Z39" s="299" t="s">
        <v>174</v>
      </c>
      <c r="AA39" s="300"/>
      <c r="AB39" s="219">
        <f>Sep!AB41</f>
        <v>0</v>
      </c>
      <c r="AC39" s="219">
        <f>Sep!AC41</f>
        <v>0</v>
      </c>
      <c r="AD39" s="219">
        <f>Sep!AD41</f>
        <v>0</v>
      </c>
      <c r="AE39" s="219">
        <f>Sep!AE41</f>
        <v>0</v>
      </c>
      <c r="AF39" s="219">
        <f>Sep!AF41</f>
        <v>0</v>
      </c>
      <c r="AG39" s="219">
        <f>Sep!AG41</f>
        <v>0</v>
      </c>
      <c r="AH39" s="219">
        <f>Sep!AH41</f>
        <v>0</v>
      </c>
      <c r="AI39" s="219">
        <f>Sep!AI41</f>
        <v>0</v>
      </c>
      <c r="AJ39" s="219">
        <f>Sep!AJ41</f>
        <v>0</v>
      </c>
      <c r="AK39" s="219">
        <f>Sep!AK41</f>
        <v>0</v>
      </c>
      <c r="AL39" s="219">
        <f>Sep!AL41</f>
        <v>0</v>
      </c>
      <c r="AM39" s="219">
        <f>Sep!AM41</f>
        <v>0</v>
      </c>
      <c r="AN39" s="301"/>
      <c r="AO39" s="301"/>
      <c r="AP39" s="301"/>
      <c r="AQ39" s="301"/>
      <c r="AR39" s="301"/>
      <c r="AS39" s="301"/>
      <c r="AT39" s="302"/>
      <c r="AU39" s="302"/>
      <c r="AV39" s="484" t="s">
        <v>176</v>
      </c>
      <c r="AW39" s="234">
        <f>Voreinstellung_Übersicht!H12</f>
        <v>0</v>
      </c>
      <c r="AX39" s="310">
        <f>IF(AZ_Konto,SUM(AW8:AW38),0)</f>
        <v>0</v>
      </c>
      <c r="AY39" s="311"/>
      <c r="AZ39" s="312"/>
      <c r="BA39" s="311">
        <f>IF(AZ_Konto,SUM(BA8:BA38),0)</f>
        <v>0</v>
      </c>
      <c r="BB39" s="311">
        <f>IF(AZ_Konto,SUM(BB8:BB38),0)</f>
        <v>0</v>
      </c>
      <c r="BC39" s="299">
        <f ca="1">BC38</f>
        <v>0</v>
      </c>
      <c r="BD39" s="219"/>
      <c r="BE39" s="303"/>
      <c r="BF39"/>
    </row>
    <row r="40" spans="1:104" ht="15" x14ac:dyDescent="0.25">
      <c r="A40" s="233"/>
      <c r="B40" s="233"/>
      <c r="C40" s="233"/>
      <c r="D40" s="233"/>
      <c r="E40" s="233"/>
      <c r="F40" s="488"/>
      <c r="G40" s="490"/>
      <c r="H40" s="482" t="s">
        <v>177</v>
      </c>
      <c r="I40" s="483"/>
      <c r="J40" s="235"/>
      <c r="K40" s="236">
        <f>-AB40</f>
        <v>0</v>
      </c>
      <c r="L40" s="221"/>
      <c r="M40" s="206"/>
      <c r="N40" s="206"/>
      <c r="O40" s="221"/>
      <c r="P40" s="206"/>
      <c r="Q40" s="221"/>
      <c r="R40" s="221"/>
      <c r="S40" s="221"/>
      <c r="T40" s="480"/>
      <c r="U40" s="482" t="s">
        <v>177</v>
      </c>
      <c r="V40" s="483"/>
      <c r="W40" s="237">
        <f ca="1">SUM(W8:W38)</f>
        <v>0</v>
      </c>
      <c r="X40" s="309"/>
      <c r="Y40" s="221">
        <f>SUM(Y8:Y38)</f>
        <v>0</v>
      </c>
      <c r="Z40" s="299">
        <f ca="1">SUM(Z8:Z38)</f>
        <v>7.6666666666666634</v>
      </c>
      <c r="AA40" s="300"/>
      <c r="AB40" s="219">
        <f t="shared" ref="AB40:AM40" si="46">SUM(AB8:AB38)</f>
        <v>0</v>
      </c>
      <c r="AC40" s="219">
        <f t="shared" si="46"/>
        <v>0</v>
      </c>
      <c r="AD40" s="219">
        <f t="shared" si="46"/>
        <v>0</v>
      </c>
      <c r="AE40" s="219">
        <f t="shared" si="46"/>
        <v>0</v>
      </c>
      <c r="AF40" s="219">
        <f t="shared" si="46"/>
        <v>0</v>
      </c>
      <c r="AG40" s="219">
        <f t="shared" si="46"/>
        <v>0</v>
      </c>
      <c r="AH40" s="219">
        <f t="shared" si="46"/>
        <v>0</v>
      </c>
      <c r="AI40" s="219">
        <f t="shared" si="46"/>
        <v>0</v>
      </c>
      <c r="AJ40" s="219">
        <f t="shared" si="46"/>
        <v>0</v>
      </c>
      <c r="AK40" s="219">
        <f t="shared" si="46"/>
        <v>0</v>
      </c>
      <c r="AL40" s="219">
        <f t="shared" si="46"/>
        <v>0</v>
      </c>
      <c r="AM40" s="219">
        <f t="shared" si="46"/>
        <v>0</v>
      </c>
      <c r="AN40" s="301"/>
      <c r="AO40" s="301"/>
      <c r="AP40" s="301"/>
      <c r="AQ40" s="301"/>
      <c r="AR40" s="301"/>
      <c r="AS40" s="301"/>
      <c r="AT40" s="302"/>
      <c r="AU40" s="302"/>
      <c r="AV40" s="485"/>
      <c r="AW40" s="237" t="str">
        <f>IF(SUM(AX39,BA39,BB39)&gt;0,SUM(AX39,BA39,BB39),"")</f>
        <v/>
      </c>
      <c r="AX40" s="313"/>
      <c r="AY40" s="313"/>
      <c r="AZ40" s="313"/>
      <c r="BA40" s="313"/>
      <c r="BB40" s="313"/>
      <c r="BC40" s="299"/>
      <c r="BD40" s="219"/>
      <c r="BE40" s="303"/>
      <c r="BF40"/>
    </row>
    <row r="41" spans="1:104" ht="15" x14ac:dyDescent="0.25">
      <c r="A41" s="233"/>
      <c r="B41" s="233"/>
      <c r="C41" s="233"/>
      <c r="D41" s="233"/>
      <c r="E41" s="233"/>
      <c r="F41" s="491"/>
      <c r="G41" s="492"/>
      <c r="H41" s="482" t="s">
        <v>178</v>
      </c>
      <c r="I41" s="483"/>
      <c r="J41" s="238"/>
      <c r="K41" s="239">
        <f>AB41</f>
        <v>0</v>
      </c>
      <c r="L41" s="221"/>
      <c r="M41" s="206"/>
      <c r="N41" s="206"/>
      <c r="O41" s="221"/>
      <c r="P41" s="206"/>
      <c r="Q41" s="221"/>
      <c r="R41" s="221"/>
      <c r="S41" s="221"/>
      <c r="T41" s="481"/>
      <c r="U41" s="482" t="s">
        <v>178</v>
      </c>
      <c r="V41" s="483"/>
      <c r="W41" s="240">
        <f ca="1">SUM(W39:W40)</f>
        <v>0</v>
      </c>
      <c r="X41" s="309"/>
      <c r="Y41" s="221"/>
      <c r="Z41" s="299"/>
      <c r="AA41" s="300"/>
      <c r="AB41" s="219">
        <f>AB39-AB40</f>
        <v>0</v>
      </c>
      <c r="AC41" s="219">
        <f t="shared" ref="AC41:AM41" si="47">SUM(AC39:AC40)</f>
        <v>0</v>
      </c>
      <c r="AD41" s="219">
        <f t="shared" si="47"/>
        <v>0</v>
      </c>
      <c r="AE41" s="219">
        <f t="shared" si="47"/>
        <v>0</v>
      </c>
      <c r="AF41" s="219">
        <f t="shared" si="47"/>
        <v>0</v>
      </c>
      <c r="AG41" s="219">
        <f t="shared" si="47"/>
        <v>0</v>
      </c>
      <c r="AH41" s="219">
        <f t="shared" si="47"/>
        <v>0</v>
      </c>
      <c r="AI41" s="219">
        <f t="shared" si="47"/>
        <v>0</v>
      </c>
      <c r="AJ41" s="219">
        <f t="shared" si="47"/>
        <v>0</v>
      </c>
      <c r="AK41" s="219">
        <f t="shared" si="47"/>
        <v>0</v>
      </c>
      <c r="AL41" s="219">
        <f t="shared" si="47"/>
        <v>0</v>
      </c>
      <c r="AM41" s="219">
        <f t="shared" si="47"/>
        <v>0</v>
      </c>
      <c r="AN41" s="301"/>
      <c r="AO41" s="301"/>
      <c r="AP41" s="301"/>
      <c r="AQ41" s="301"/>
      <c r="AR41" s="301"/>
      <c r="AS41" s="301"/>
      <c r="AT41" s="302"/>
      <c r="AU41" s="302"/>
      <c r="AV41" s="486"/>
      <c r="AW41" s="240">
        <f>SUM(AW39:AW40)</f>
        <v>0</v>
      </c>
      <c r="AX41" s="314"/>
      <c r="AY41" s="314"/>
      <c r="AZ41" s="314"/>
      <c r="BA41" s="314"/>
      <c r="BB41" s="314"/>
      <c r="BC41" s="299"/>
      <c r="BD41" s="219"/>
      <c r="BE41" s="303"/>
      <c r="BF41"/>
    </row>
    <row r="42" spans="1:104" s="1" customFormat="1" ht="15" x14ac:dyDescent="0.3">
      <c r="A42" s="88"/>
      <c r="B42" s="47"/>
      <c r="C42" s="6"/>
      <c r="D42" s="89"/>
      <c r="E42" s="90"/>
      <c r="F42" s="487" t="s">
        <v>179</v>
      </c>
      <c r="G42" s="487"/>
      <c r="H42" s="487"/>
      <c r="I42" s="487"/>
      <c r="J42" s="347"/>
      <c r="K42" s="186">
        <f>NETWORKDAYS(B8,B38,Feiertage)</f>
        <v>21</v>
      </c>
      <c r="L42" s="331"/>
      <c r="M42" s="330"/>
      <c r="N42" s="330"/>
      <c r="O42" s="331"/>
      <c r="P42" s="330"/>
      <c r="Q42" s="331"/>
      <c r="R42" s="331"/>
      <c r="S42" s="331"/>
      <c r="T42" s="332"/>
      <c r="U42" s="332"/>
      <c r="V42" s="332"/>
      <c r="W42" s="332"/>
      <c r="X42" s="333"/>
      <c r="Y42" s="331"/>
      <c r="Z42" s="334"/>
      <c r="AA42" s="335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7"/>
      <c r="AO42" s="337"/>
      <c r="AP42" s="337"/>
      <c r="AQ42" s="337"/>
      <c r="AR42" s="337"/>
      <c r="AS42" s="337"/>
      <c r="AT42" s="338"/>
      <c r="AU42" s="338"/>
      <c r="AV42" s="339"/>
      <c r="AW42" s="340"/>
      <c r="AX42" s="83"/>
      <c r="AY42" s="83"/>
      <c r="AZ42" s="83"/>
      <c r="BA42" s="173"/>
      <c r="BB42" s="173"/>
      <c r="BC42" s="15"/>
      <c r="BD42" s="6"/>
      <c r="BE42" s="169"/>
    </row>
    <row r="43" spans="1:104" s="1" customFormat="1" ht="15" x14ac:dyDescent="0.3">
      <c r="A43" s="11"/>
      <c r="B43" s="47"/>
      <c r="C43" s="6"/>
      <c r="D43" s="6"/>
      <c r="E43" s="12"/>
      <c r="F43" s="487" t="s">
        <v>180</v>
      </c>
      <c r="G43" s="487"/>
      <c r="H43" s="487"/>
      <c r="I43" s="487"/>
      <c r="J43" s="348"/>
      <c r="K43" s="186">
        <f>SUM(BF8:BF38)</f>
        <v>0</v>
      </c>
      <c r="L43" s="336"/>
      <c r="M43" s="341"/>
      <c r="N43" s="341"/>
      <c r="O43" s="336"/>
      <c r="P43" s="341"/>
      <c r="Q43" s="336"/>
      <c r="R43" s="336"/>
      <c r="S43" s="336"/>
      <c r="T43" s="341"/>
      <c r="U43" s="341"/>
      <c r="V43" s="341"/>
      <c r="W43" s="341"/>
      <c r="X43" s="342"/>
      <c r="Y43" s="331"/>
      <c r="Z43" s="343"/>
      <c r="AA43" s="344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45"/>
      <c r="AO43" s="336"/>
      <c r="AP43" s="336"/>
      <c r="AQ43" s="336"/>
      <c r="AR43" s="336"/>
      <c r="AS43" s="336"/>
      <c r="AT43" s="346"/>
      <c r="AU43" s="346"/>
      <c r="AV43" s="341"/>
      <c r="AW43" s="341"/>
      <c r="AX43" s="26"/>
      <c r="AY43" s="26"/>
      <c r="AZ43" s="26"/>
      <c r="BA43" s="26"/>
      <c r="BC43" s="6"/>
      <c r="BD43" s="6"/>
      <c r="BE43" s="6"/>
    </row>
    <row r="45" spans="1:104" x14ac:dyDescent="0.3">
      <c r="A45" s="11"/>
      <c r="B45" s="47"/>
      <c r="C45" s="6"/>
      <c r="D45" s="6"/>
      <c r="E45" s="12"/>
      <c r="F45" s="329"/>
      <c r="G45" s="329"/>
      <c r="H45" s="341"/>
      <c r="I45" s="341"/>
      <c r="J45" s="336"/>
      <c r="K45" s="341"/>
      <c r="L45" s="336"/>
      <c r="M45" s="341"/>
      <c r="N45" s="341"/>
      <c r="O45" s="336"/>
      <c r="P45" s="341"/>
      <c r="Q45" s="336"/>
      <c r="R45" s="336"/>
      <c r="S45" s="336"/>
      <c r="T45" s="341"/>
      <c r="U45" s="341"/>
      <c r="V45" s="341"/>
      <c r="W45" s="341"/>
      <c r="X45" s="342"/>
      <c r="Y45" s="331"/>
      <c r="Z45" s="343"/>
      <c r="AA45" s="344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45"/>
      <c r="AO45" s="336"/>
      <c r="AP45" s="336"/>
      <c r="AQ45" s="336"/>
      <c r="AR45" s="336"/>
      <c r="AS45" s="336"/>
      <c r="AT45" s="346"/>
      <c r="AU45" s="346"/>
      <c r="AV45" s="341"/>
      <c r="AW45" s="341"/>
      <c r="AX45" s="26"/>
      <c r="AY45" s="26"/>
      <c r="AZ45" s="26"/>
      <c r="BA45" s="26"/>
      <c r="BB45" s="1"/>
      <c r="BC45" s="6"/>
      <c r="BD45" s="6"/>
      <c r="BE45" s="6"/>
      <c r="BG45" s="1"/>
    </row>
    <row r="46" spans="1:104" x14ac:dyDescent="0.3">
      <c r="A46" s="11"/>
      <c r="B46" s="47"/>
      <c r="C46" s="6"/>
      <c r="D46" s="6"/>
      <c r="E46" s="12"/>
      <c r="F46" s="329"/>
      <c r="G46" s="329"/>
      <c r="H46" s="341"/>
      <c r="I46" s="341"/>
      <c r="J46" s="336"/>
      <c r="K46" s="341"/>
      <c r="L46" s="336"/>
      <c r="M46" s="341"/>
      <c r="N46" s="341"/>
      <c r="O46" s="336"/>
      <c r="P46" s="341"/>
      <c r="Q46" s="336"/>
      <c r="R46" s="336"/>
      <c r="S46" s="336"/>
      <c r="T46" s="341"/>
      <c r="U46" s="341"/>
      <c r="V46" s="341"/>
      <c r="W46" s="341"/>
      <c r="X46" s="342"/>
      <c r="Y46" s="331"/>
      <c r="Z46" s="343"/>
      <c r="AA46" s="344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45"/>
      <c r="AO46" s="336"/>
      <c r="AP46" s="336"/>
      <c r="AQ46" s="336"/>
      <c r="AR46" s="336"/>
      <c r="AS46" s="336"/>
      <c r="AT46" s="346"/>
      <c r="AU46" s="346"/>
      <c r="AV46" s="341"/>
      <c r="AW46" s="341"/>
      <c r="AX46" s="26"/>
      <c r="AY46" s="26"/>
      <c r="AZ46" s="26"/>
      <c r="BA46" s="26"/>
      <c r="BB46" s="1"/>
      <c r="BC46" s="6"/>
      <c r="BD46" s="6"/>
      <c r="BE46" s="6"/>
      <c r="BG46" s="1"/>
    </row>
    <row r="47" spans="1:104" x14ac:dyDescent="0.3">
      <c r="A47" s="11"/>
      <c r="B47" s="47"/>
      <c r="C47" s="6"/>
      <c r="D47" s="6"/>
      <c r="E47" s="12"/>
      <c r="F47" s="329"/>
      <c r="G47" s="329"/>
      <c r="H47" s="341"/>
      <c r="I47" s="341"/>
      <c r="J47" s="336"/>
      <c r="K47" s="341"/>
      <c r="L47" s="336"/>
      <c r="M47" s="341"/>
      <c r="N47" s="341"/>
      <c r="O47" s="336"/>
      <c r="P47" s="341"/>
      <c r="Q47" s="336"/>
      <c r="R47" s="336"/>
      <c r="S47" s="336"/>
      <c r="T47" s="341"/>
      <c r="U47" s="341"/>
      <c r="V47" s="341"/>
      <c r="W47" s="341"/>
      <c r="X47" s="342"/>
      <c r="Y47" s="331"/>
      <c r="Z47" s="343"/>
      <c r="AA47" s="344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45"/>
      <c r="AO47" s="336"/>
      <c r="AP47" s="336"/>
      <c r="AQ47" s="336"/>
      <c r="AR47" s="336"/>
      <c r="AS47" s="336"/>
      <c r="AT47" s="346"/>
      <c r="AU47" s="346"/>
      <c r="AV47" s="341"/>
      <c r="AW47" s="341"/>
      <c r="AX47" s="26"/>
      <c r="AY47" s="26"/>
      <c r="AZ47" s="26"/>
      <c r="BA47" s="26"/>
      <c r="BB47" s="1"/>
      <c r="BC47" s="6"/>
      <c r="BD47" s="6"/>
      <c r="BE47" s="6"/>
      <c r="BG47" s="1"/>
    </row>
  </sheetData>
  <sheetProtection algorithmName="SHA-512" hashValue="MedG9uQ6dI5iwsqBYCAfgpu4H43p2hawQysCfX1kcMTP/5WnAThImZJt5lFhMDrCHDkEljRGbVIF3dVWQrxnFw==" saltValue="oOirymplTuHIfjCq//dnzw==" spinCount="100000" sheet="1" objects="1" scenarios="1" formatCells="0" selectLockedCells="1"/>
  <mergeCells count="26">
    <mergeCell ref="F42:I42"/>
    <mergeCell ref="F43:I43"/>
    <mergeCell ref="AX6:BA6"/>
    <mergeCell ref="F39:G41"/>
    <mergeCell ref="H39:I39"/>
    <mergeCell ref="T39:T41"/>
    <mergeCell ref="U39:V39"/>
    <mergeCell ref="H40:I40"/>
    <mergeCell ref="U40:V40"/>
    <mergeCell ref="H41:I41"/>
    <mergeCell ref="U41:V41"/>
    <mergeCell ref="H6:P6"/>
    <mergeCell ref="AA3:AA6"/>
    <mergeCell ref="AN6:AS6"/>
    <mergeCell ref="AT6:AU6"/>
    <mergeCell ref="AV6:AW6"/>
    <mergeCell ref="F6:F7"/>
    <mergeCell ref="AV39:AV41"/>
    <mergeCell ref="G6:G7"/>
    <mergeCell ref="AN2:AS4"/>
    <mergeCell ref="AT2:AU4"/>
    <mergeCell ref="E2:G2"/>
    <mergeCell ref="H2:I2"/>
    <mergeCell ref="E3:G3"/>
    <mergeCell ref="H3:I3"/>
    <mergeCell ref="E4:G4"/>
  </mergeCells>
  <conditionalFormatting sqref="B7:E7 B8:F39 B40:E41 B5:F6">
    <cfRule type="expression" dxfId="72" priority="13">
      <formula>AND($C5=0,NOT($C5=""))</formula>
    </cfRule>
  </conditionalFormatting>
  <conditionalFormatting sqref="B6:F6 B7:E7 BB6:BB41 B39:F39 B40:E41 H39:H41 J39:U39 J40:S41 U40:U41 W40:AU41 AW40:BA41 F41:G41 I41 T41 V41 AV41 B8:BA38 H6:BA7 B5:BA5 W39:BA39">
    <cfRule type="expression" dxfId="71" priority="14">
      <formula>AND($C5=0,NOT($C5=""))</formula>
    </cfRule>
  </conditionalFormatting>
  <conditionalFormatting sqref="G6 BC8:BC37">
    <cfRule type="expression" dxfId="70" priority="18">
      <formula>AND($C7=0,NOT($C7=""))</formula>
    </cfRule>
  </conditionalFormatting>
  <conditionalFormatting sqref="BC38:BC41">
    <cfRule type="expression" dxfId="69" priority="19">
      <formula>AND(#REF!=0,NOT(#REF!=""))</formula>
    </cfRule>
  </conditionalFormatting>
  <conditionalFormatting sqref="W8:X41 BC8:BD41">
    <cfRule type="expression" dxfId="68" priority="10">
      <formula>$BD8=3</formula>
    </cfRule>
    <cfRule type="expression" dxfId="67" priority="11">
      <formula>$BD8=2</formula>
    </cfRule>
  </conditionalFormatting>
  <conditionalFormatting sqref="W8:W41 BC8:BD41">
    <cfRule type="expression" dxfId="66" priority="12">
      <formula>$BD8=1</formula>
    </cfRule>
  </conditionalFormatting>
  <conditionalFormatting sqref="A8:BB38">
    <cfRule type="expression" dxfId="65" priority="9">
      <formula>$R$1=TRUE</formula>
    </cfRule>
  </conditionalFormatting>
  <conditionalFormatting sqref="B1:F4">
    <cfRule type="expression" dxfId="64" priority="7">
      <formula>AND($C1=0,NOT($C1=""))</formula>
    </cfRule>
  </conditionalFormatting>
  <conditionalFormatting sqref="B1:BA4">
    <cfRule type="expression" dxfId="63" priority="8">
      <formula>AND($C1=0,NOT($C1=""))</formula>
    </cfRule>
  </conditionalFormatting>
  <conditionalFormatting sqref="B42:F42">
    <cfRule type="expression" dxfId="62" priority="4">
      <formula>AND($C42=0,NOT($C42=""))</formula>
    </cfRule>
  </conditionalFormatting>
  <conditionalFormatting sqref="BB42">
    <cfRule type="expression" dxfId="61" priority="5">
      <formula>AND($C42=0,NOT($C42=""))</formula>
    </cfRule>
  </conditionalFormatting>
  <conditionalFormatting sqref="BC42">
    <cfRule type="expression" dxfId="60" priority="6">
      <formula>AND(#REF!=0,NOT(#REF!=""))</formula>
    </cfRule>
  </conditionalFormatting>
  <conditionalFormatting sqref="BC42:BD42">
    <cfRule type="expression" dxfId="59" priority="1">
      <formula>$BD42=3</formula>
    </cfRule>
    <cfRule type="expression" dxfId="58" priority="2">
      <formula>$BD42=2</formula>
    </cfRule>
  </conditionalFormatting>
  <conditionalFormatting sqref="BC42:BD42">
    <cfRule type="expression" dxfId="57" priority="3">
      <formula>$BD42=1</formula>
    </cfRule>
  </conditionalFormatting>
  <dataValidations count="2">
    <dataValidation type="list" allowBlank="1" showInputMessage="1" showErrorMessage="1" sqref="G8:G38">
      <formula1>Code_Liste</formula1>
    </dataValidation>
    <dataValidation type="time" allowBlank="1" showInputMessage="1" showErrorMessage="1" sqref="H8:I12 K8:K12">
      <formula1>$R$6</formula1>
      <formula2>$S$6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stopIfTrue="1" id="{9C964E08-BEE2-4520-A03F-6E7FACF85659}">
            <xm:f>Voreinstellung_Übersicht!$R$14=3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17" stopIfTrue="1" id="{DC027673-7B49-40BD-87DC-481C224F8F61}">
            <xm:f>Voreinstellung_Übersicht!$R$14=2</xm:f>
            <x14:dxf>
              <fill>
                <patternFill>
                  <bgColor rgb="FFFFC000"/>
                </patternFill>
              </fill>
            </x14:dxf>
          </x14:cfRule>
          <xm:sqref>W7:X41</xm:sqref>
        </x14:conditionalFormatting>
        <x14:conditionalFormatting xmlns:xm="http://schemas.microsoft.com/office/excel/2006/main">
          <x14:cfRule type="expression" priority="15" stopIfTrue="1" id="{3351A944-D72A-45EE-B3C1-EB65D58A4731}">
            <xm:f>Voreinstellung_Übersicht!$R$14=1</xm:f>
            <x14:dxf>
              <fill>
                <patternFill>
                  <bgColor theme="9" tint="0.59996337778862885"/>
                </patternFill>
              </fill>
            </x14:dxf>
          </x14:cfRule>
          <xm:sqref>W7:W41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7"/>
  <sheetViews>
    <sheetView zoomScale="80" zoomScaleNormal="80" workbookViewId="0">
      <selection activeCell="G8" sqref="G8"/>
    </sheetView>
  </sheetViews>
  <sheetFormatPr baseColWidth="10" defaultColWidth="11.42578125" defaultRowHeight="15.75" x14ac:dyDescent="0.3"/>
  <cols>
    <col min="1" max="1" width="5.5703125" customWidth="1"/>
    <col min="2" max="2" width="12.7109375" bestFit="1" customWidth="1"/>
    <col min="3" max="4" width="0" hidden="1" customWidth="1"/>
    <col min="5" max="5" width="15.7109375" style="242" customWidth="1"/>
    <col min="6" max="6" width="6.28515625" customWidth="1"/>
    <col min="7" max="7" width="6" customWidth="1"/>
    <col min="8" max="9" width="11.5703125" bestFit="1" customWidth="1"/>
    <col min="10" max="10" width="0" hidden="1" customWidth="1"/>
    <col min="11" max="11" width="11.42578125" customWidth="1"/>
    <col min="12" max="12" width="0" hidden="1" customWidth="1"/>
    <col min="13" max="14" width="11.5703125" bestFit="1" customWidth="1"/>
    <col min="15" max="15" width="0" hidden="1" customWidth="1"/>
    <col min="17" max="19" width="0" hidden="1" customWidth="1"/>
    <col min="20" max="21" width="11.5703125" bestFit="1" customWidth="1"/>
    <col min="24" max="24" width="25.7109375" customWidth="1"/>
    <col min="25" max="46" width="11.5703125" hidden="1" customWidth="1"/>
    <col min="47" max="47" width="11.42578125" hidden="1" customWidth="1"/>
    <col min="49" max="49" width="13.7109375" customWidth="1"/>
    <col min="53" max="53" width="13" customWidth="1"/>
    <col min="54" max="54" width="18.140625" customWidth="1"/>
    <col min="55" max="56" width="11.5703125" hidden="1" customWidth="1"/>
    <col min="57" max="57" width="11.42578125" hidden="1" customWidth="1"/>
    <col min="58" max="58" width="11.42578125" style="1" hidden="1" customWidth="1"/>
  </cols>
  <sheetData>
    <row r="1" spans="1:58" s="1" customFormat="1" thickBot="1" x14ac:dyDescent="0.35">
      <c r="A1" s="26"/>
      <c r="B1" s="47"/>
      <c r="C1" s="6"/>
      <c r="D1" s="6"/>
      <c r="E1" s="12"/>
      <c r="F1" s="66"/>
      <c r="G1" s="66"/>
      <c r="H1" s="26"/>
      <c r="I1" s="26"/>
      <c r="J1" s="6"/>
      <c r="K1" s="26"/>
      <c r="L1" s="6"/>
      <c r="M1" s="26"/>
      <c r="N1" s="26"/>
      <c r="O1" s="6"/>
      <c r="P1" s="26"/>
      <c r="Q1" s="6" t="s">
        <v>123</v>
      </c>
      <c r="R1" s="315" t="b">
        <v>0</v>
      </c>
      <c r="S1" s="6"/>
      <c r="T1" s="26"/>
      <c r="U1" s="26"/>
      <c r="V1" s="26"/>
      <c r="W1" s="26"/>
      <c r="X1" s="48"/>
      <c r="Y1" s="7"/>
      <c r="Z1" s="8"/>
      <c r="AA1" s="17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3"/>
      <c r="AO1" s="6"/>
      <c r="AP1" s="6"/>
      <c r="AQ1" s="6"/>
      <c r="AR1" s="6"/>
      <c r="AS1" s="6"/>
      <c r="AT1" s="14"/>
      <c r="AU1" s="14"/>
      <c r="AV1" s="26"/>
      <c r="AW1" s="26"/>
      <c r="AX1" s="26"/>
      <c r="AY1" s="26"/>
      <c r="AZ1" s="26"/>
      <c r="BA1" s="26"/>
      <c r="BC1" s="6"/>
      <c r="BD1" s="6"/>
      <c r="BE1" s="6"/>
    </row>
    <row r="2" spans="1:58" s="1" customFormat="1" ht="16.5" customHeight="1" x14ac:dyDescent="0.3">
      <c r="A2" s="26"/>
      <c r="B2" s="71" t="s">
        <v>1</v>
      </c>
      <c r="C2" s="222" t="str">
        <f>Name</f>
        <v>Max Mustermann</v>
      </c>
      <c r="D2" s="222"/>
      <c r="E2" s="466" t="str">
        <f>C2</f>
        <v>Max Mustermann</v>
      </c>
      <c r="F2" s="466"/>
      <c r="G2" s="466"/>
      <c r="H2" s="471" t="s">
        <v>7</v>
      </c>
      <c r="I2" s="471"/>
      <c r="J2" s="222"/>
      <c r="K2" s="69">
        <f>Personalnummer</f>
        <v>123456789</v>
      </c>
      <c r="L2" s="219"/>
      <c r="M2" s="26"/>
      <c r="N2" s="26"/>
      <c r="O2" s="219"/>
      <c r="P2" s="26"/>
      <c r="Q2" s="219"/>
      <c r="R2" s="219"/>
      <c r="S2" s="219"/>
      <c r="T2" s="26"/>
      <c r="U2" s="26"/>
      <c r="V2" s="26"/>
      <c r="W2" s="26"/>
      <c r="X2" s="48"/>
      <c r="Y2" s="221"/>
      <c r="Z2" s="295"/>
      <c r="AA2" s="296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474"/>
      <c r="AO2" s="474"/>
      <c r="AP2" s="474"/>
      <c r="AQ2" s="474"/>
      <c r="AR2" s="474"/>
      <c r="AS2" s="474"/>
      <c r="AT2" s="470" t="s">
        <v>124</v>
      </c>
      <c r="AU2" s="470"/>
      <c r="AV2" s="26"/>
      <c r="AW2" s="26"/>
      <c r="AX2" s="26"/>
      <c r="AY2" s="26"/>
      <c r="AZ2" s="26"/>
      <c r="BA2" s="26"/>
      <c r="BB2" s="29"/>
      <c r="BC2" s="219"/>
      <c r="BD2" s="219"/>
      <c r="BE2" s="219"/>
    </row>
    <row r="3" spans="1:58" s="1" customFormat="1" ht="16.5" customHeight="1" x14ac:dyDescent="0.3">
      <c r="A3" s="26"/>
      <c r="B3" s="72" t="s">
        <v>125</v>
      </c>
      <c r="C3" s="223">
        <f>Jahr</f>
        <v>42004</v>
      </c>
      <c r="D3" s="223"/>
      <c r="E3" s="468">
        <f>Jahr</f>
        <v>42004</v>
      </c>
      <c r="F3" s="468"/>
      <c r="G3" s="468"/>
      <c r="H3" s="472" t="s">
        <v>5</v>
      </c>
      <c r="I3" s="472"/>
      <c r="J3" s="224"/>
      <c r="K3" s="70">
        <f>Geburtstag</f>
        <v>16833</v>
      </c>
      <c r="L3" s="219"/>
      <c r="M3" s="26"/>
      <c r="N3" s="26"/>
      <c r="O3" s="219"/>
      <c r="P3" s="26"/>
      <c r="Q3" s="219"/>
      <c r="R3" s="219"/>
      <c r="S3" s="219"/>
      <c r="T3" s="26"/>
      <c r="U3" s="26"/>
      <c r="V3" s="26"/>
      <c r="W3" s="26"/>
      <c r="X3" s="48"/>
      <c r="Y3" s="221"/>
      <c r="Z3" s="295"/>
      <c r="AA3" s="475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474"/>
      <c r="AO3" s="474"/>
      <c r="AP3" s="474"/>
      <c r="AQ3" s="474"/>
      <c r="AR3" s="474"/>
      <c r="AS3" s="474"/>
      <c r="AT3" s="470"/>
      <c r="AU3" s="470"/>
      <c r="AV3" s="26"/>
      <c r="AW3" s="26"/>
      <c r="AX3" s="26"/>
      <c r="AY3" s="26"/>
      <c r="AZ3" s="26"/>
      <c r="BA3" s="26"/>
      <c r="BB3" s="29"/>
      <c r="BC3" s="219"/>
      <c r="BD3" s="219"/>
      <c r="BE3" s="219"/>
    </row>
    <row r="4" spans="1:58" s="1" customFormat="1" ht="16.5" customHeight="1" thickBot="1" x14ac:dyDescent="0.35">
      <c r="A4" s="26"/>
      <c r="B4" s="322" t="s">
        <v>126</v>
      </c>
      <c r="C4" s="323">
        <f>Jahr</f>
        <v>42004</v>
      </c>
      <c r="D4" s="323"/>
      <c r="E4" s="467">
        <f>B8</f>
        <v>42308</v>
      </c>
      <c r="F4" s="467"/>
      <c r="G4" s="467"/>
      <c r="H4" s="324"/>
      <c r="I4" s="324"/>
      <c r="J4" s="325"/>
      <c r="K4" s="326"/>
      <c r="L4" s="219"/>
      <c r="M4" s="26"/>
      <c r="N4" s="26"/>
      <c r="O4" s="219"/>
      <c r="P4" s="26"/>
      <c r="Q4" s="219"/>
      <c r="R4" s="219"/>
      <c r="S4" s="219"/>
      <c r="T4" s="26"/>
      <c r="U4" s="26"/>
      <c r="V4" s="26"/>
      <c r="W4" s="26"/>
      <c r="X4" s="48"/>
      <c r="Y4" s="221"/>
      <c r="Z4" s="295"/>
      <c r="AA4" s="475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474"/>
      <c r="AO4" s="474"/>
      <c r="AP4" s="474"/>
      <c r="AQ4" s="474"/>
      <c r="AR4" s="474"/>
      <c r="AS4" s="474"/>
      <c r="AT4" s="470"/>
      <c r="AU4" s="470"/>
      <c r="AV4" s="26"/>
      <c r="AW4" s="26"/>
      <c r="AX4" s="26"/>
      <c r="AY4" s="26"/>
      <c r="AZ4" s="26"/>
      <c r="BA4" s="26"/>
      <c r="BB4" s="29"/>
      <c r="BC4" s="219"/>
      <c r="BD4" s="219"/>
      <c r="BE4" s="219"/>
    </row>
    <row r="5" spans="1:58" s="1" customFormat="1" ht="15" x14ac:dyDescent="0.3">
      <c r="A5" s="26"/>
      <c r="B5" s="73"/>
      <c r="C5" s="225"/>
      <c r="D5" s="225"/>
      <c r="E5" s="67"/>
      <c r="F5" s="67"/>
      <c r="G5" s="67"/>
      <c r="H5" s="68"/>
      <c r="I5" s="68"/>
      <c r="J5" s="226"/>
      <c r="K5" s="68"/>
      <c r="L5" s="219"/>
      <c r="M5" s="26"/>
      <c r="N5" s="26"/>
      <c r="O5" s="219"/>
      <c r="P5" s="26"/>
      <c r="Q5" s="219"/>
      <c r="R5" s="219"/>
      <c r="S5" s="219"/>
      <c r="T5" s="26"/>
      <c r="U5" s="26"/>
      <c r="V5" s="26"/>
      <c r="W5" s="26"/>
      <c r="X5" s="48"/>
      <c r="Y5" s="221"/>
      <c r="Z5" s="295"/>
      <c r="AA5" s="475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73"/>
      <c r="AO5" s="273"/>
      <c r="AP5" s="273"/>
      <c r="AQ5" s="273"/>
      <c r="AR5" s="273"/>
      <c r="AS5" s="273"/>
      <c r="AT5" s="272"/>
      <c r="AU5" s="272"/>
      <c r="AV5" s="26"/>
      <c r="AW5" s="26"/>
      <c r="AX5" s="26"/>
      <c r="AY5" s="26"/>
      <c r="AZ5" s="26"/>
      <c r="BA5" s="26"/>
      <c r="BB5" s="29"/>
      <c r="BC5" s="219"/>
      <c r="BD5" s="219"/>
      <c r="BE5" s="219"/>
    </row>
    <row r="6" spans="1:58" s="1" customFormat="1" ht="27.6" customHeight="1" x14ac:dyDescent="0.3">
      <c r="A6" s="227"/>
      <c r="B6" s="86"/>
      <c r="C6" s="228" t="s">
        <v>127</v>
      </c>
      <c r="D6" s="228" t="s">
        <v>81</v>
      </c>
      <c r="E6" s="297"/>
      <c r="F6" s="465" t="s">
        <v>128</v>
      </c>
      <c r="G6" s="476" t="s">
        <v>129</v>
      </c>
      <c r="H6" s="462" t="s">
        <v>130</v>
      </c>
      <c r="I6" s="464"/>
      <c r="J6" s="464"/>
      <c r="K6" s="464"/>
      <c r="L6" s="464"/>
      <c r="M6" s="464"/>
      <c r="N6" s="464"/>
      <c r="O6" s="464"/>
      <c r="P6" s="464"/>
      <c r="Q6" s="228" t="s">
        <v>131</v>
      </c>
      <c r="R6" s="228">
        <v>0</v>
      </c>
      <c r="S6" s="228">
        <v>1</v>
      </c>
      <c r="T6" s="84"/>
      <c r="U6" s="84"/>
      <c r="V6" s="84"/>
      <c r="W6" s="85"/>
      <c r="X6" s="291"/>
      <c r="Y6" s="221"/>
      <c r="Z6" s="295"/>
      <c r="AA6" s="475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473" t="s">
        <v>82</v>
      </c>
      <c r="AO6" s="473"/>
      <c r="AP6" s="473"/>
      <c r="AQ6" s="473"/>
      <c r="AR6" s="473"/>
      <c r="AS6" s="473"/>
      <c r="AT6" s="469" t="s">
        <v>70</v>
      </c>
      <c r="AU6" s="469"/>
      <c r="AV6" s="462" t="s">
        <v>105</v>
      </c>
      <c r="AW6" s="463"/>
      <c r="AX6" s="462" t="s">
        <v>132</v>
      </c>
      <c r="AY6" s="464"/>
      <c r="AZ6" s="464"/>
      <c r="BA6" s="465"/>
      <c r="BB6" s="211" t="s">
        <v>133</v>
      </c>
      <c r="BC6" s="219" t="s">
        <v>134</v>
      </c>
      <c r="BD6" s="219"/>
      <c r="BE6" s="219"/>
    </row>
    <row r="7" spans="1:58" s="290" customFormat="1" ht="39" customHeight="1" x14ac:dyDescent="0.25">
      <c r="A7" s="279" t="s">
        <v>135</v>
      </c>
      <c r="B7" s="274" t="s">
        <v>80</v>
      </c>
      <c r="C7" s="281"/>
      <c r="D7" s="281"/>
      <c r="E7" s="241" t="s">
        <v>136</v>
      </c>
      <c r="F7" s="478"/>
      <c r="G7" s="477"/>
      <c r="H7" s="275" t="s">
        <v>137</v>
      </c>
      <c r="I7" s="276" t="s">
        <v>138</v>
      </c>
      <c r="J7" s="282" t="s">
        <v>139</v>
      </c>
      <c r="K7" s="277" t="s">
        <v>140</v>
      </c>
      <c r="L7" s="281" t="s">
        <v>141</v>
      </c>
      <c r="M7" s="275" t="s">
        <v>142</v>
      </c>
      <c r="N7" s="276" t="s">
        <v>143</v>
      </c>
      <c r="O7" s="282" t="s">
        <v>144</v>
      </c>
      <c r="P7" s="277" t="s">
        <v>145</v>
      </c>
      <c r="Q7" s="281" t="s">
        <v>146</v>
      </c>
      <c r="R7" s="281" t="s">
        <v>147</v>
      </c>
      <c r="S7" s="281" t="s">
        <v>148</v>
      </c>
      <c r="T7" s="211" t="s">
        <v>149</v>
      </c>
      <c r="U7" s="211" t="s">
        <v>150</v>
      </c>
      <c r="V7" s="275" t="s">
        <v>151</v>
      </c>
      <c r="W7" s="278" t="s">
        <v>152</v>
      </c>
      <c r="X7" s="278" t="s">
        <v>153</v>
      </c>
      <c r="Y7" s="283" t="s">
        <v>154</v>
      </c>
      <c r="Z7" s="284" t="s">
        <v>155</v>
      </c>
      <c r="AA7" s="285" t="s">
        <v>134</v>
      </c>
      <c r="AB7" s="286" t="s">
        <v>49</v>
      </c>
      <c r="AC7" s="286" t="s">
        <v>59</v>
      </c>
      <c r="AD7" s="286" t="s">
        <v>57</v>
      </c>
      <c r="AE7" s="286" t="s">
        <v>55</v>
      </c>
      <c r="AF7" s="286" t="s">
        <v>156</v>
      </c>
      <c r="AG7" s="286" t="s">
        <v>157</v>
      </c>
      <c r="AH7" s="286" t="s">
        <v>61</v>
      </c>
      <c r="AI7" s="286" t="s">
        <v>65</v>
      </c>
      <c r="AJ7" s="286" t="s">
        <v>74</v>
      </c>
      <c r="AK7" s="286" t="s">
        <v>76</v>
      </c>
      <c r="AL7" s="286" t="s">
        <v>158</v>
      </c>
      <c r="AM7" s="286" t="s">
        <v>78</v>
      </c>
      <c r="AN7" s="287" t="s">
        <v>159</v>
      </c>
      <c r="AO7" s="286" t="s">
        <v>160</v>
      </c>
      <c r="AP7" s="286" t="s">
        <v>81</v>
      </c>
      <c r="AQ7" s="286" t="s">
        <v>161</v>
      </c>
      <c r="AR7" s="286" t="s">
        <v>162</v>
      </c>
      <c r="AS7" s="286" t="s">
        <v>39</v>
      </c>
      <c r="AT7" s="288" t="s">
        <v>163</v>
      </c>
      <c r="AU7" s="288" t="s">
        <v>164</v>
      </c>
      <c r="AV7" s="279" t="s">
        <v>165</v>
      </c>
      <c r="AW7" s="280" t="s">
        <v>166</v>
      </c>
      <c r="AX7" s="279" t="s">
        <v>38</v>
      </c>
      <c r="AY7" s="241" t="s">
        <v>39</v>
      </c>
      <c r="AZ7" s="241" t="s">
        <v>81</v>
      </c>
      <c r="BA7" s="280" t="s">
        <v>167</v>
      </c>
      <c r="BB7" s="280" t="s">
        <v>167</v>
      </c>
      <c r="BC7" s="289" t="s">
        <v>165</v>
      </c>
      <c r="BD7" s="289" t="s">
        <v>168</v>
      </c>
      <c r="BE7" s="289" t="s">
        <v>169</v>
      </c>
      <c r="BF7" s="290" t="s">
        <v>170</v>
      </c>
    </row>
    <row r="8" spans="1:58" s="1" customFormat="1" ht="15" x14ac:dyDescent="0.3">
      <c r="A8" s="218">
        <f t="shared" ref="A8:A37" si="0">WEEKNUM(B8)</f>
        <v>44</v>
      </c>
      <c r="B8" s="47">
        <f>Okt!B38+1</f>
        <v>42308</v>
      </c>
      <c r="C8" s="219">
        <f t="shared" ref="C8:C37" si="1">NETWORKDAYS(B8,B8,Feiertage)</f>
        <v>1</v>
      </c>
      <c r="D8" s="220" t="str">
        <f t="shared" ref="D8:D37" si="2">IF(ISERROR(VLOOKUP(B8,Feiertage_ganz,4,FALSE)),"",(VLOOKUP(B8,Feiertage_ganz,4,FALSE)))</f>
        <v/>
      </c>
      <c r="E8" s="298" t="str">
        <f t="shared" ref="E8:E37" si="3">D8</f>
        <v/>
      </c>
      <c r="F8" s="87">
        <f t="shared" ref="F8:F37" si="4">B8</f>
        <v>42308</v>
      </c>
      <c r="G8" s="147"/>
      <c r="H8" s="214"/>
      <c r="I8" s="75"/>
      <c r="J8" s="221">
        <f t="shared" ref="J8:J37" si="5">I8-H8</f>
        <v>0</v>
      </c>
      <c r="K8" s="76"/>
      <c r="L8" s="221">
        <f>IF(J8-K8&gt;Pause_9,Pause_9p,IF(J8-K8&gt;Pause_6,Pause_6p,0))</f>
        <v>0</v>
      </c>
      <c r="M8" s="74"/>
      <c r="N8" s="75"/>
      <c r="O8" s="221">
        <f t="shared" ref="O8:O37" si="6">N8-M8</f>
        <v>0</v>
      </c>
      <c r="P8" s="76"/>
      <c r="Q8" s="221">
        <f>IF(O8-P8&gt;Pause_9,Pause_9p,IF(O8-P8&gt;Pause_6,Pause_6p,0))</f>
        <v>0</v>
      </c>
      <c r="R8" s="221">
        <f>IF(J8+O8-K8-P8&gt;Pause_9,Pause_9p,IF(J8+O8-K8-P8&gt;Pause_6,Pause_6p,0))</f>
        <v>0</v>
      </c>
      <c r="S8" s="221">
        <f t="shared" ref="S8:S37" si="7">IF(M8&gt;I8,IF(M8-I8+K8+P8&gt;=R8,K8+P8,R8),IF(K8+P8&gt;=R8,K8+P8,R8))</f>
        <v>0</v>
      </c>
      <c r="T8" s="79">
        <f t="shared" ref="T8:T37" si="8">IF(I8&lt;=M8,I8-H8+N8-M8,IF(I8&lt;=N8,N8-H8,I8-H8))</f>
        <v>0</v>
      </c>
      <c r="U8" s="79">
        <f>ROUND(T8-S8,10)</f>
        <v>0</v>
      </c>
      <c r="V8" s="80">
        <f t="shared" ref="V8:V37" ca="1" si="9">ROUND(IF(AND(D8&lt;&gt;"",G8=""),IF(ISERROR(VLOOKUP(B8,Feiertage,3,FALSE)),0,Z8),IF(B8="",0,IF(G8&lt;&gt;"",IF(UPPER(G8)=VLOOKUP(UPPER(G8),Code,1,FALSE),VLOOKUP(G8,Code,2,FALSE)*Z8,Z8),Z8))),10)</f>
        <v>0.33333333329999998</v>
      </c>
      <c r="W8" s="249" t="str">
        <f t="shared" ref="W8:W37" ca="1" si="10">IF(OR(AND(VLOOKUP(UPPER(G8),Code,3,FALSE)=2,U8&gt;V8),AND(I8&lt;&gt;0,B8&lt;&gt;"",G8=""),VLOOKUP(UPPER(G8),Code,3,FALSE)=1),U8-V8,"")</f>
        <v/>
      </c>
      <c r="X8" s="292"/>
      <c r="Y8" s="221">
        <f t="shared" ref="Y8:Y37" si="11">IF(G8&lt;&gt;"",IF(VLOOKUP(G8,Code,2,FALSE)=2,U8,IF(AND(VLOOKUP(G8,Code,2,FALSE)=1,U8&gt;Z8),U8,0)),0)</f>
        <v>0</v>
      </c>
      <c r="Z8" s="299">
        <f ca="1">IF(B8="","",INDIRECT(ADDRESS(MATCH(B8,Soll_AZ,1)+MATCH("Arbeitszeit 1 ab",Voreinstellung_Übersicht!B:B,0)-1,WEEKDAY(B8,2)+4,,,"Voreinstellung_Übersicht"),TRUE))</f>
        <v>0.33333333333333331</v>
      </c>
      <c r="AA8" s="300">
        <f ca="1">IF(W8="",Übertrag_Mehrarbeit,Übertrag_Mehrarbeit+W8)</f>
        <v>0</v>
      </c>
      <c r="AB8" s="219">
        <f t="shared" ref="AB8:AB37" si="12">IF(AND($G8&lt;&gt;0,IF(ISERROR(VLOOKUP($G8,Code,1,FALSE)),FALSE,VLOOKUP($G8,Code,1,FALSE)="U"),$C8=1),1,0)</f>
        <v>0</v>
      </c>
      <c r="AC8" s="219">
        <f t="shared" ref="AC8:AC37" si="13">IF(AND($G8&lt;&gt;0,IF(ISERROR(VLOOKUP($G8,Code,1,FALSE)),FALSE,VLOOKUP($G8,Code,1,FALSE))="WB"),1,0)</f>
        <v>0</v>
      </c>
      <c r="AD8" s="219">
        <f t="shared" ref="AD8:AD37" si="14">IF(AND($G8&lt;&gt;0,IF(ISERROR(VLOOKUP($G8,Code,1,FALSE)),FALSE,VLOOKUP($G8,Code,1,FALSE))="DR",$C8=1),1,0)</f>
        <v>0</v>
      </c>
      <c r="AE8" s="219">
        <f t="shared" ref="AE8:AE37" si="15">IF(AND($G8&lt;&gt;0,IF(ISERROR(VLOOKUP($G8,Code,1,FALSE)),FALSE,VLOOKUP($G8,Code,1,FALSE))="KK",$C8=1),1,0)</f>
        <v>0</v>
      </c>
      <c r="AF8" s="219">
        <f t="shared" ref="AF8:AF37" si="16">IF(AND($G8&lt;&gt;0,IF(ISERROR(VLOOKUP($G8,Code,1,FALSE)),FALSE,VLOOKUP($G8,Code,1,FALSE))="K",$C8=1),1,0)</f>
        <v>0</v>
      </c>
      <c r="AG8" s="219">
        <f t="shared" ref="AG8:AG37" si="17">IF(AND($G8&lt;&gt;0,IF(ISERROR(VLOOKUP($G8,Code,1,FALSE)),FALSE,VLOOKUP($G8,Code,1,FALSE))="KZT"),1,0)</f>
        <v>0</v>
      </c>
      <c r="AH8" s="219">
        <f t="shared" ref="AH8:AH37" si="18">IF(AND($G8&lt;&gt;0,IF(ISERROR(VLOOKUP($G8,Code,1,FALSE)),FALSE,VLOOKUP($G8,Code,1,FALSE))="mEG",$C8=1),1,0)</f>
        <v>0</v>
      </c>
      <c r="AI8" s="219">
        <f t="shared" ref="AI8:AI37" si="19">IF(AND($G8&lt;&gt;0,IF(ISERROR(VLOOKUP($G8,Code,1,FALSE)),FALSE,VLOOKUP($G8,Code,1,FALSE))="Ku"),1,0)</f>
        <v>0</v>
      </c>
      <c r="AJ8" s="219">
        <f t="shared" ref="AJ8:AJ37" si="20">IF(AND($G8&lt;&gt;0,IF(ISERROR(VLOOKUP($G8,Code,1,FALSE)),FALSE,VLOOKUP($G8,Code,1,FALSE))="§29(1)",$C8=1),1,0)</f>
        <v>0</v>
      </c>
      <c r="AK8" s="219">
        <f t="shared" ref="AK8:AK37" si="21">IF(AND($G8&lt;&gt;0,IF(ISERROR(VLOOKUP($G8,Code,1,FALSE)),FALSE,VLOOKUP($G8,Code,1,FALSE))="§29(2)",$C8=1),1,0)</f>
        <v>0</v>
      </c>
      <c r="AL8" s="219">
        <f t="shared" ref="AL8:AL37" si="22">IF(AND($G8&lt;&gt;0,IF(ISERROR(VLOOKUP($G8,Code,1,FALSE)),FALSE,VLOOKUP($G8,Code,1,FALSE))="§29(3)",$C8=1),1,0)</f>
        <v>0</v>
      </c>
      <c r="AM8" s="219">
        <f t="shared" ref="AM8:AM37" si="23">IF(AND($G8&lt;&gt;0,IF(ISERROR(VLOOKUP($G8,Code,1,FALSE)),FALSE,VLOOKUP($G8,Code,1,FALSE))="§29(4)",$C8=1),1,0)</f>
        <v>0</v>
      </c>
      <c r="AN8" s="301">
        <f t="shared" ref="AN8:AN37" si="24">IF(OR(AND(H8&lt;Nacht_6,I8-K8&lt;=Nacht_6),AND(I8&gt;Nacht_22,H8+K8&gt;=Nacht_22)),I8-H8-K8,IF(H8&lt;Nacht_6,IF(I8&gt;Nacht_22,Nacht_6-H8+I8-Nacht_22,Nacht_6-H8),IF(I8&gt;Nacht_22,I8-Nacht_22,0)))</f>
        <v>0</v>
      </c>
      <c r="AO8" s="301">
        <f t="shared" ref="AO8:AO37" si="25">IF(OR(AND(M8&lt;Nacht_6,N8-P8&lt;=Nacht_6),AND(N8&gt;Nacht_22,M8+P8&gt;=Nacht_22)),N8-M8-P8,IF(M8&lt;Nacht_6,IF(N8&gt;Nacht_22,Nacht_6-M8+N8-Nacht_22,Nacht_6-M8),IF(N8&gt;Nacht_22,N8-Nacht_22,0)))</f>
        <v>0</v>
      </c>
      <c r="AP8" s="301">
        <f t="shared" ref="AP8:AP37" si="26">IF(ISERROR(VLOOKUP(B8,Feiertage_ganz,3,FALSE)),0,IF(VLOOKUP(B8,Feiertage_ganz,3,FALSE)=1,U8,0))</f>
        <v>0</v>
      </c>
      <c r="AQ8" s="301">
        <f t="shared" ref="AQ8:AQ37" si="27">IF(OR(I8&lt;=Samstagszuschlag,H8&gt;=Nacht_22),0,IF(H8&lt;=Samstagszuschlag,IF(I8&lt;=Nacht_22,I8-Samstagszuschlag,Nacht_22-Samstagszuschlag),IF(I8&lt;=Nacht_22,I8-H8,Nacht_22-H8)))</f>
        <v>0</v>
      </c>
      <c r="AR8" s="301">
        <f t="shared" ref="AR8:AR37" si="28">IF(OR(N8&lt;=Samstagszuschlag,M8&lt;=Nacht_22),0,IF(M8&lt;=Samstagszuschlag,IF(N8&lt;=Nacht_22,N8-Samstagszuschlag,Nacht_22-Samstagszuschlag),IF(N8&lt;=Nacht_22,N8-M8,Nacht_22-M8)))</f>
        <v>0</v>
      </c>
      <c r="AS8" s="301">
        <f t="shared" ref="AS8:AS37" si="29">IF(WEEKDAY(B8,2)=7,U8,0)</f>
        <v>0</v>
      </c>
      <c r="AT8" s="302">
        <f t="shared" ref="AT8:AT37" si="30">IF(ISERROR(VLOOKUP(G8,Code_Liste,1,FALSE)),0,I8-H8)</f>
        <v>0</v>
      </c>
      <c r="AU8" s="302">
        <f t="shared" ref="AU8:AU37" si="31">IF(ISERROR(VLOOKUP(G8,Code_Liste,1,FALSE)),0,N8-M8)</f>
        <v>0</v>
      </c>
      <c r="AV8" s="81">
        <f t="shared" ref="AV8:AV37" si="32">SUM(AN8:AO8)</f>
        <v>0</v>
      </c>
      <c r="AW8" s="82">
        <f t="shared" ref="AW8:AW37" si="33">AV8*Zuschlag_Nacht/100</f>
        <v>0</v>
      </c>
      <c r="AX8" s="81">
        <f t="shared" ref="AX8:AX37" si="34">IF(WEEKDAY(B8,2)=6,AQ8+AR8,0)</f>
        <v>0</v>
      </c>
      <c r="AY8" s="83">
        <f t="shared" ref="AY8:AY37" si="35">AS8</f>
        <v>0</v>
      </c>
      <c r="AZ8" s="83">
        <f t="shared" ref="AZ8:AZ37" si="36">AP8</f>
        <v>0</v>
      </c>
      <c r="BA8" s="82">
        <f>IF(OR(B8=Feiertage!$A$16,B8=Feiertage!$A$19),U8*Zuschläge_24_31/100,IF(AZ8&gt;0,AZ8*Feiertag_mit/100,IF(AX8&gt;0,AX8*Zuschläge_Sa/100,IF(AY8&gt;0,AY8*Zuschlag_So/100,0))))</f>
        <v>0</v>
      </c>
      <c r="BB8" s="82">
        <f>IF(AND(B8&lt;&gt;0,G8=Voreinstellung_Übersicht!$D$41),IF(EG=1,W8*Über_klein/100,IF(EG=2,W8*Über_groß/100,"Fehler")),0)</f>
        <v>0</v>
      </c>
      <c r="BC8" s="299">
        <f ca="1">Okt!BC39</f>
        <v>0</v>
      </c>
      <c r="BD8" s="219">
        <f t="shared" ref="BD8:BD37" ca="1" si="37">IF(OR(AND(BC8&gt;=0,BC8&lt;=(grün_plus*BE8/100%)),AND(BC8&lt;=0,BC8&gt;=(grün_minus*BE8/100%))),1,IF(OR(AND(BC8&gt;0,BC8&lt;=(gelb_plus*BE8/100%)),AND(BC8&lt;0,BC8&gt;=(gelb_minus*BE8/100%))),2,3))</f>
        <v>1</v>
      </c>
      <c r="BE8" s="303">
        <f ca="1">IF(B8="","",INDIRECT(ADDRESS(MATCH(B8,Soll_AZ,1)+MATCH("Arbeitszeit 1 ab",Voreinstellung_Übersicht!B:B,0)-1,4,,,"Voreinstellung_Übersicht"),TRUE))</f>
        <v>1.6666666666666665</v>
      </c>
      <c r="BF8" s="1">
        <f>IF(OR(G8="WB",G8="DR",U8&gt;0),1,0)</f>
        <v>0</v>
      </c>
    </row>
    <row r="9" spans="1:58" s="1" customFormat="1" ht="15" x14ac:dyDescent="0.3">
      <c r="A9" s="218">
        <f t="shared" si="0"/>
        <v>44</v>
      </c>
      <c r="B9" s="47">
        <f t="shared" ref="B9:B37" si="38">B8+1</f>
        <v>42309</v>
      </c>
      <c r="C9" s="219">
        <f t="shared" si="1"/>
        <v>0</v>
      </c>
      <c r="D9" s="220" t="str">
        <f t="shared" si="2"/>
        <v/>
      </c>
      <c r="E9" s="298" t="str">
        <f t="shared" si="3"/>
        <v/>
      </c>
      <c r="F9" s="87">
        <f t="shared" si="4"/>
        <v>42309</v>
      </c>
      <c r="G9" s="147"/>
      <c r="H9" s="74"/>
      <c r="I9" s="75"/>
      <c r="J9" s="221">
        <f t="shared" si="5"/>
        <v>0</v>
      </c>
      <c r="K9" s="76"/>
      <c r="L9" s="221">
        <f>IF(J9-K9&gt;Pause_9,Pause_9p,IF(J9-K9&gt;Pause_6,Pause_6p,0))</f>
        <v>0</v>
      </c>
      <c r="M9" s="74"/>
      <c r="N9" s="75"/>
      <c r="O9" s="221">
        <f t="shared" si="6"/>
        <v>0</v>
      </c>
      <c r="P9" s="76"/>
      <c r="Q9" s="221">
        <f>IF(O9-P9&gt;Pause_9,Pause_9p,IF(O9-P9&gt;Pause_6,Pause_6p,0))</f>
        <v>0</v>
      </c>
      <c r="R9" s="221">
        <f>IF(J9+O9-K9-P9&gt;Pause_9,Pause_9p,IF(J9+O9-K9-P9&gt;Pause_6,Pause_6p,0))</f>
        <v>0</v>
      </c>
      <c r="S9" s="221">
        <f t="shared" si="7"/>
        <v>0</v>
      </c>
      <c r="T9" s="79">
        <f t="shared" si="8"/>
        <v>0</v>
      </c>
      <c r="U9" s="79">
        <f t="shared" ref="U9:U37" si="39">ROUND(T9-S9,10)</f>
        <v>0</v>
      </c>
      <c r="V9" s="80">
        <f t="shared" ca="1" si="9"/>
        <v>0</v>
      </c>
      <c r="W9" s="249" t="str">
        <f t="shared" ca="1" si="10"/>
        <v/>
      </c>
      <c r="X9" s="293"/>
      <c r="Y9" s="221">
        <f t="shared" si="11"/>
        <v>0</v>
      </c>
      <c r="Z9" s="299">
        <f ca="1">IF(B9="","",INDIRECT(ADDRESS(MATCH(B9,Soll_AZ,1)+MATCH("Arbeitszeit 1 ab",Voreinstellung_Übersicht!B:B,0)-1,WEEKDAY(B9,2)+4,,,"Voreinstellung_Übersicht"),TRUE))</f>
        <v>0</v>
      </c>
      <c r="AA9" s="300">
        <f t="shared" ref="AA9:AA37" ca="1" si="40">IF(W9="",AA8,AA8+W9)</f>
        <v>0</v>
      </c>
      <c r="AB9" s="219">
        <f t="shared" si="12"/>
        <v>0</v>
      </c>
      <c r="AC9" s="219">
        <f t="shared" si="13"/>
        <v>0</v>
      </c>
      <c r="AD9" s="219">
        <f t="shared" si="14"/>
        <v>0</v>
      </c>
      <c r="AE9" s="219">
        <f t="shared" si="15"/>
        <v>0</v>
      </c>
      <c r="AF9" s="219">
        <f t="shared" si="16"/>
        <v>0</v>
      </c>
      <c r="AG9" s="219">
        <f t="shared" si="17"/>
        <v>0</v>
      </c>
      <c r="AH9" s="219">
        <f t="shared" si="18"/>
        <v>0</v>
      </c>
      <c r="AI9" s="219">
        <f t="shared" si="19"/>
        <v>0</v>
      </c>
      <c r="AJ9" s="219">
        <f t="shared" si="20"/>
        <v>0</v>
      </c>
      <c r="AK9" s="219">
        <f t="shared" si="21"/>
        <v>0</v>
      </c>
      <c r="AL9" s="219">
        <f t="shared" si="22"/>
        <v>0</v>
      </c>
      <c r="AM9" s="219">
        <f t="shared" si="23"/>
        <v>0</v>
      </c>
      <c r="AN9" s="301">
        <f t="shared" si="24"/>
        <v>0</v>
      </c>
      <c r="AO9" s="301">
        <f t="shared" si="25"/>
        <v>0</v>
      </c>
      <c r="AP9" s="301">
        <f t="shared" si="26"/>
        <v>0</v>
      </c>
      <c r="AQ9" s="301">
        <f t="shared" si="27"/>
        <v>0</v>
      </c>
      <c r="AR9" s="301">
        <f t="shared" si="28"/>
        <v>0</v>
      </c>
      <c r="AS9" s="301">
        <f t="shared" si="29"/>
        <v>0</v>
      </c>
      <c r="AT9" s="302">
        <f t="shared" si="30"/>
        <v>0</v>
      </c>
      <c r="AU9" s="302">
        <f t="shared" si="31"/>
        <v>0</v>
      </c>
      <c r="AV9" s="81">
        <f t="shared" si="32"/>
        <v>0</v>
      </c>
      <c r="AW9" s="82">
        <f t="shared" si="33"/>
        <v>0</v>
      </c>
      <c r="AX9" s="81">
        <f t="shared" si="34"/>
        <v>0</v>
      </c>
      <c r="AY9" s="83">
        <f t="shared" si="35"/>
        <v>0</v>
      </c>
      <c r="AZ9" s="83">
        <f t="shared" si="36"/>
        <v>0</v>
      </c>
      <c r="BA9" s="82">
        <f>IF(OR(B9=Feiertage!$A$16,B9=Feiertage!$A$19),U9*Zuschläge_24_31/100,IF(AZ9&gt;0,AZ9*Feiertag_mit/100,IF(AX9&gt;0,AX9*Zuschläge_Sa/100,IF(AY9&gt;0,AY9*Zuschlag_So/100,0))))</f>
        <v>0</v>
      </c>
      <c r="BB9" s="82">
        <f>IF(AND(B9&lt;&gt;0,G9=Voreinstellung_Übersicht!$D$41),IF(EG=1,W9*Über_klein/100,IF(EG=2,W9*Über_groß/100,"Fehler")),0)</f>
        <v>0</v>
      </c>
      <c r="BC9" s="299">
        <f t="shared" ref="BC9:BC38" ca="1" si="41">IF(W9="",BC8,BC8+W9)</f>
        <v>0</v>
      </c>
      <c r="BD9" s="219">
        <f t="shared" ca="1" si="37"/>
        <v>1</v>
      </c>
      <c r="BE9" s="303">
        <f ca="1">IF(B9="","",INDIRECT(ADDRESS(MATCH(B9,Soll_AZ,1)+MATCH("Arbeitszeit 1 ab",Voreinstellung_Übersicht!B:B,0)-1,4,,,"Voreinstellung_Übersicht"),TRUE))</f>
        <v>1.6666666666666665</v>
      </c>
      <c r="BF9" s="1">
        <f t="shared" ref="BF9:BF38" si="42">IF(OR(G9="WB",G9="DR",U9&gt;0),1,0)</f>
        <v>0</v>
      </c>
    </row>
    <row r="10" spans="1:58" s="1" customFormat="1" ht="15" x14ac:dyDescent="0.3">
      <c r="A10" s="218">
        <f t="shared" si="0"/>
        <v>45</v>
      </c>
      <c r="B10" s="47">
        <f t="shared" si="38"/>
        <v>42310</v>
      </c>
      <c r="C10" s="219">
        <f t="shared" si="1"/>
        <v>0</v>
      </c>
      <c r="D10" s="220" t="str">
        <f t="shared" si="2"/>
        <v/>
      </c>
      <c r="E10" s="298" t="str">
        <f t="shared" si="3"/>
        <v/>
      </c>
      <c r="F10" s="87">
        <f t="shared" si="4"/>
        <v>42310</v>
      </c>
      <c r="G10" s="147"/>
      <c r="H10" s="74"/>
      <c r="I10" s="75"/>
      <c r="J10" s="221">
        <f t="shared" si="5"/>
        <v>0</v>
      </c>
      <c r="K10" s="76"/>
      <c r="L10" s="221">
        <f>IF(J10-K10&gt;=Pause_9,Pause_9p,IF(J10-K10&gt;=Pause_6,Pause_6p,0))</f>
        <v>0</v>
      </c>
      <c r="M10" s="74"/>
      <c r="N10" s="75"/>
      <c r="O10" s="221">
        <f t="shared" si="6"/>
        <v>0</v>
      </c>
      <c r="P10" s="76"/>
      <c r="Q10" s="221">
        <f>IF(O10-P10&gt;Pause_9,Pause_9p,IF(O10-P10&gt;Pause_6,Pause_6p,0))</f>
        <v>0</v>
      </c>
      <c r="R10" s="221">
        <f>IF(J10+O10-K10-P10&gt;Pause_9,Pause_9p,IF(J10+O10-K10-P10&gt;Pause_6,Pause_6p,0))</f>
        <v>0</v>
      </c>
      <c r="S10" s="221">
        <f t="shared" si="7"/>
        <v>0</v>
      </c>
      <c r="T10" s="79">
        <f t="shared" si="8"/>
        <v>0</v>
      </c>
      <c r="U10" s="79">
        <f t="shared" si="39"/>
        <v>0</v>
      </c>
      <c r="V10" s="80">
        <f t="shared" ca="1" si="9"/>
        <v>0</v>
      </c>
      <c r="W10" s="249" t="str">
        <f t="shared" ca="1" si="10"/>
        <v/>
      </c>
      <c r="X10" s="293"/>
      <c r="Y10" s="221">
        <f t="shared" si="11"/>
        <v>0</v>
      </c>
      <c r="Z10" s="299">
        <f ca="1">IF(B10="","",INDIRECT(ADDRESS(MATCH(B10,Soll_AZ,1)+MATCH("Arbeitszeit 1 ab",Voreinstellung_Übersicht!B:B,0)-1,WEEKDAY(B10,2)+4,,,"Voreinstellung_Übersicht"),TRUE))</f>
        <v>0</v>
      </c>
      <c r="AA10" s="300">
        <f t="shared" ca="1" si="40"/>
        <v>0</v>
      </c>
      <c r="AB10" s="219">
        <f t="shared" si="12"/>
        <v>0</v>
      </c>
      <c r="AC10" s="219">
        <f t="shared" si="13"/>
        <v>0</v>
      </c>
      <c r="AD10" s="219">
        <f t="shared" si="14"/>
        <v>0</v>
      </c>
      <c r="AE10" s="219">
        <f t="shared" si="15"/>
        <v>0</v>
      </c>
      <c r="AF10" s="219">
        <f t="shared" si="16"/>
        <v>0</v>
      </c>
      <c r="AG10" s="219">
        <f t="shared" si="17"/>
        <v>0</v>
      </c>
      <c r="AH10" s="219">
        <f t="shared" si="18"/>
        <v>0</v>
      </c>
      <c r="AI10" s="219">
        <f t="shared" si="19"/>
        <v>0</v>
      </c>
      <c r="AJ10" s="219">
        <f t="shared" si="20"/>
        <v>0</v>
      </c>
      <c r="AK10" s="219">
        <f t="shared" si="21"/>
        <v>0</v>
      </c>
      <c r="AL10" s="219">
        <f t="shared" si="22"/>
        <v>0</v>
      </c>
      <c r="AM10" s="219">
        <f t="shared" si="23"/>
        <v>0</v>
      </c>
      <c r="AN10" s="301">
        <f t="shared" si="24"/>
        <v>0</v>
      </c>
      <c r="AO10" s="301">
        <f t="shared" si="25"/>
        <v>0</v>
      </c>
      <c r="AP10" s="301">
        <f t="shared" si="26"/>
        <v>0</v>
      </c>
      <c r="AQ10" s="301">
        <f t="shared" si="27"/>
        <v>0</v>
      </c>
      <c r="AR10" s="301">
        <f t="shared" si="28"/>
        <v>0</v>
      </c>
      <c r="AS10" s="301">
        <f t="shared" si="29"/>
        <v>0</v>
      </c>
      <c r="AT10" s="302">
        <f t="shared" si="30"/>
        <v>0</v>
      </c>
      <c r="AU10" s="302">
        <f t="shared" si="31"/>
        <v>0</v>
      </c>
      <c r="AV10" s="81">
        <f t="shared" si="32"/>
        <v>0</v>
      </c>
      <c r="AW10" s="82">
        <f t="shared" si="33"/>
        <v>0</v>
      </c>
      <c r="AX10" s="81">
        <f t="shared" si="34"/>
        <v>0</v>
      </c>
      <c r="AY10" s="83">
        <f t="shared" si="35"/>
        <v>0</v>
      </c>
      <c r="AZ10" s="83">
        <f t="shared" si="36"/>
        <v>0</v>
      </c>
      <c r="BA10" s="82">
        <f>IF(OR(B10=Feiertage!$A$16,B10=Feiertage!$A$19),U10*Zuschläge_24_31/100,IF(AZ10&gt;0,AZ10*Feiertag_mit/100,IF(AX10&gt;0,AX10*Zuschläge_Sa/100,IF(AY10&gt;0,AY10*Zuschlag_So/100,0))))</f>
        <v>0</v>
      </c>
      <c r="BB10" s="82">
        <f>IF(AND(B10&lt;&gt;0,G10=Voreinstellung_Übersicht!$D$41),IF(EG=1,W10*Über_klein/100,IF(EG=2,W10*Über_groß/100,"Fehler")),0)</f>
        <v>0</v>
      </c>
      <c r="BC10" s="299">
        <f t="shared" ca="1" si="41"/>
        <v>0</v>
      </c>
      <c r="BD10" s="219">
        <f t="shared" ca="1" si="37"/>
        <v>1</v>
      </c>
      <c r="BE10" s="303">
        <f ca="1">IF(B10="","",INDIRECT(ADDRESS(MATCH(B10,Soll_AZ,1)+MATCH("Arbeitszeit 1 ab",Voreinstellung_Übersicht!B:B,0)-1,4,,,"Voreinstellung_Übersicht"),TRUE))</f>
        <v>1.6666666666666665</v>
      </c>
      <c r="BF10" s="1">
        <f t="shared" si="42"/>
        <v>0</v>
      </c>
    </row>
    <row r="11" spans="1:58" s="1" customFormat="1" ht="15" x14ac:dyDescent="0.3">
      <c r="A11" s="218">
        <f t="shared" si="0"/>
        <v>45</v>
      </c>
      <c r="B11" s="47">
        <f t="shared" si="38"/>
        <v>42311</v>
      </c>
      <c r="C11" s="219">
        <f t="shared" si="1"/>
        <v>1</v>
      </c>
      <c r="D11" s="220" t="str">
        <f t="shared" si="2"/>
        <v/>
      </c>
      <c r="E11" s="298" t="str">
        <f t="shared" si="3"/>
        <v/>
      </c>
      <c r="F11" s="87">
        <f t="shared" si="4"/>
        <v>42311</v>
      </c>
      <c r="G11" s="147"/>
      <c r="H11" s="74"/>
      <c r="I11" s="75"/>
      <c r="J11" s="221">
        <f t="shared" si="5"/>
        <v>0</v>
      </c>
      <c r="K11" s="76"/>
      <c r="L11" s="221">
        <f>IF(J11-K11&gt;=Pause_9,Pause_9p,IF(J11-K11&gt;=Pause_6,Pause_6p,0))</f>
        <v>0</v>
      </c>
      <c r="M11" s="74"/>
      <c r="N11" s="75"/>
      <c r="O11" s="221">
        <f t="shared" si="6"/>
        <v>0</v>
      </c>
      <c r="P11" s="76"/>
      <c r="Q11" s="221">
        <f>IF(O11-P11&gt;Pause_9,Pause_9p,IF(O11-P11&gt;Pause_6,Pause_6p,0))</f>
        <v>0</v>
      </c>
      <c r="R11" s="221">
        <f>IF(J11+O11-K11-P11&gt;Pause_9,Pause_9p,IF(J11+O11-K11-P11&gt;Pause_6,Pause_6p,0))</f>
        <v>0</v>
      </c>
      <c r="S11" s="221">
        <f t="shared" si="7"/>
        <v>0</v>
      </c>
      <c r="T11" s="79">
        <f t="shared" si="8"/>
        <v>0</v>
      </c>
      <c r="U11" s="79">
        <f t="shared" si="39"/>
        <v>0</v>
      </c>
      <c r="V11" s="80">
        <f t="shared" ca="1" si="9"/>
        <v>0.33333333329999998</v>
      </c>
      <c r="W11" s="249" t="str">
        <f t="shared" ca="1" si="10"/>
        <v/>
      </c>
      <c r="X11" s="293"/>
      <c r="Y11" s="221">
        <f t="shared" si="11"/>
        <v>0</v>
      </c>
      <c r="Z11" s="299">
        <f ca="1">IF(B11="","",INDIRECT(ADDRESS(MATCH(B11,Soll_AZ,1)+MATCH("Arbeitszeit 1 ab",Voreinstellung_Übersicht!B:B,0)-1,WEEKDAY(B11,2)+4,,,"Voreinstellung_Übersicht"),TRUE))</f>
        <v>0.33333333333333331</v>
      </c>
      <c r="AA11" s="300">
        <f t="shared" ca="1" si="40"/>
        <v>0</v>
      </c>
      <c r="AB11" s="219">
        <f t="shared" si="12"/>
        <v>0</v>
      </c>
      <c r="AC11" s="219">
        <f t="shared" si="13"/>
        <v>0</v>
      </c>
      <c r="AD11" s="219">
        <f t="shared" si="14"/>
        <v>0</v>
      </c>
      <c r="AE11" s="219">
        <f t="shared" si="15"/>
        <v>0</v>
      </c>
      <c r="AF11" s="219">
        <f t="shared" si="16"/>
        <v>0</v>
      </c>
      <c r="AG11" s="219">
        <f t="shared" si="17"/>
        <v>0</v>
      </c>
      <c r="AH11" s="219">
        <f t="shared" si="18"/>
        <v>0</v>
      </c>
      <c r="AI11" s="219">
        <f t="shared" si="19"/>
        <v>0</v>
      </c>
      <c r="AJ11" s="219">
        <f t="shared" si="20"/>
        <v>0</v>
      </c>
      <c r="AK11" s="219">
        <f t="shared" si="21"/>
        <v>0</v>
      </c>
      <c r="AL11" s="219">
        <f t="shared" si="22"/>
        <v>0</v>
      </c>
      <c r="AM11" s="219">
        <f t="shared" si="23"/>
        <v>0</v>
      </c>
      <c r="AN11" s="301">
        <f t="shared" si="24"/>
        <v>0</v>
      </c>
      <c r="AO11" s="301">
        <f t="shared" si="25"/>
        <v>0</v>
      </c>
      <c r="AP11" s="301">
        <f t="shared" si="26"/>
        <v>0</v>
      </c>
      <c r="AQ11" s="301">
        <f t="shared" si="27"/>
        <v>0</v>
      </c>
      <c r="AR11" s="301">
        <f t="shared" si="28"/>
        <v>0</v>
      </c>
      <c r="AS11" s="301">
        <f t="shared" si="29"/>
        <v>0</v>
      </c>
      <c r="AT11" s="302">
        <f t="shared" si="30"/>
        <v>0</v>
      </c>
      <c r="AU11" s="302">
        <f t="shared" si="31"/>
        <v>0</v>
      </c>
      <c r="AV11" s="81">
        <f t="shared" si="32"/>
        <v>0</v>
      </c>
      <c r="AW11" s="82">
        <f t="shared" si="33"/>
        <v>0</v>
      </c>
      <c r="AX11" s="81">
        <f t="shared" si="34"/>
        <v>0</v>
      </c>
      <c r="AY11" s="83">
        <f t="shared" si="35"/>
        <v>0</v>
      </c>
      <c r="AZ11" s="83">
        <f t="shared" si="36"/>
        <v>0</v>
      </c>
      <c r="BA11" s="82">
        <f>IF(OR(B11=Feiertage!$A$16,B11=Feiertage!$A$19),U11*Zuschläge_24_31/100,IF(AZ11&gt;0,AZ11*Feiertag_mit/100,IF(AX11&gt;0,AX11*Zuschläge_Sa/100,IF(AY11&gt;0,AY11*Zuschlag_So/100,0))))</f>
        <v>0</v>
      </c>
      <c r="BB11" s="82">
        <f>IF(AND(B11&lt;&gt;0,G11=Voreinstellung_Übersicht!$D$41),IF(EG=1,W11*Über_klein/100,IF(EG=2,W11*Über_groß/100,"Fehler")),0)</f>
        <v>0</v>
      </c>
      <c r="BC11" s="299">
        <f t="shared" ca="1" si="41"/>
        <v>0</v>
      </c>
      <c r="BD11" s="219">
        <f t="shared" ca="1" si="37"/>
        <v>1</v>
      </c>
      <c r="BE11" s="303">
        <f ca="1">IF(B11="","",INDIRECT(ADDRESS(MATCH(B11,Soll_AZ,1)+MATCH("Arbeitszeit 1 ab",Voreinstellung_Übersicht!B:B,0)-1,4,,,"Voreinstellung_Übersicht"),TRUE))</f>
        <v>1.6666666666666665</v>
      </c>
      <c r="BF11" s="1">
        <f t="shared" si="42"/>
        <v>0</v>
      </c>
    </row>
    <row r="12" spans="1:58" s="1" customFormat="1" ht="15" x14ac:dyDescent="0.3">
      <c r="A12" s="218">
        <f t="shared" si="0"/>
        <v>45</v>
      </c>
      <c r="B12" s="47">
        <f t="shared" si="38"/>
        <v>42312</v>
      </c>
      <c r="C12" s="219">
        <f t="shared" si="1"/>
        <v>1</v>
      </c>
      <c r="D12" s="220" t="str">
        <f t="shared" si="2"/>
        <v/>
      </c>
      <c r="E12" s="298" t="str">
        <f t="shared" si="3"/>
        <v/>
      </c>
      <c r="F12" s="87">
        <f t="shared" si="4"/>
        <v>42312</v>
      </c>
      <c r="G12" s="147"/>
      <c r="H12" s="74"/>
      <c r="I12" s="75"/>
      <c r="J12" s="221">
        <f t="shared" si="5"/>
        <v>0</v>
      </c>
      <c r="K12" s="76"/>
      <c r="L12" s="221">
        <f t="shared" ref="L12:L37" si="43">IF(J12&gt;=Pause_9,Pause_9p,IF(J12&gt;=Pause_6,Pause_6p,0))</f>
        <v>0</v>
      </c>
      <c r="M12" s="74"/>
      <c r="N12" s="75"/>
      <c r="O12" s="221">
        <f t="shared" si="6"/>
        <v>0</v>
      </c>
      <c r="P12" s="76"/>
      <c r="Q12" s="221">
        <f t="shared" ref="Q12:Q37" si="44">IF(O12&gt;Pause_9,Pause_9p,IF(O12&gt;=Pause_6,Pause_6p,0))</f>
        <v>0</v>
      </c>
      <c r="R12" s="221">
        <f t="shared" ref="R12:R37" si="45">IF(J12+O12&gt;=Pause_9,Pause_9p,IF(J12+O12&gt;=Pause_6,Pause_6p,0))</f>
        <v>0</v>
      </c>
      <c r="S12" s="221">
        <f t="shared" si="7"/>
        <v>0</v>
      </c>
      <c r="T12" s="79">
        <f t="shared" si="8"/>
        <v>0</v>
      </c>
      <c r="U12" s="79">
        <f t="shared" si="39"/>
        <v>0</v>
      </c>
      <c r="V12" s="80">
        <f t="shared" ca="1" si="9"/>
        <v>0.33333333329999998</v>
      </c>
      <c r="W12" s="249" t="str">
        <f t="shared" ca="1" si="10"/>
        <v/>
      </c>
      <c r="X12" s="293"/>
      <c r="Y12" s="221">
        <f t="shared" si="11"/>
        <v>0</v>
      </c>
      <c r="Z12" s="299">
        <f ca="1">IF(B12="","",INDIRECT(ADDRESS(MATCH(B12,Soll_AZ,1)+MATCH("Arbeitszeit 1 ab",Voreinstellung_Übersicht!B:B,0)-1,WEEKDAY(B12,2)+4,,,"Voreinstellung_Übersicht"),TRUE))</f>
        <v>0.33333333333333331</v>
      </c>
      <c r="AA12" s="300">
        <f t="shared" ca="1" si="40"/>
        <v>0</v>
      </c>
      <c r="AB12" s="219">
        <f t="shared" si="12"/>
        <v>0</v>
      </c>
      <c r="AC12" s="219">
        <f t="shared" si="13"/>
        <v>0</v>
      </c>
      <c r="AD12" s="219">
        <f t="shared" si="14"/>
        <v>0</v>
      </c>
      <c r="AE12" s="219">
        <f t="shared" si="15"/>
        <v>0</v>
      </c>
      <c r="AF12" s="219">
        <f t="shared" si="16"/>
        <v>0</v>
      </c>
      <c r="AG12" s="219">
        <f t="shared" si="17"/>
        <v>0</v>
      </c>
      <c r="AH12" s="219">
        <f t="shared" si="18"/>
        <v>0</v>
      </c>
      <c r="AI12" s="219">
        <f t="shared" si="19"/>
        <v>0</v>
      </c>
      <c r="AJ12" s="219">
        <f t="shared" si="20"/>
        <v>0</v>
      </c>
      <c r="AK12" s="219">
        <f t="shared" si="21"/>
        <v>0</v>
      </c>
      <c r="AL12" s="219">
        <f t="shared" si="22"/>
        <v>0</v>
      </c>
      <c r="AM12" s="219">
        <f t="shared" si="23"/>
        <v>0</v>
      </c>
      <c r="AN12" s="301">
        <f t="shared" si="24"/>
        <v>0</v>
      </c>
      <c r="AO12" s="301">
        <f t="shared" si="25"/>
        <v>0</v>
      </c>
      <c r="AP12" s="301">
        <f t="shared" si="26"/>
        <v>0</v>
      </c>
      <c r="AQ12" s="301">
        <f t="shared" si="27"/>
        <v>0</v>
      </c>
      <c r="AR12" s="301">
        <f t="shared" si="28"/>
        <v>0</v>
      </c>
      <c r="AS12" s="301">
        <f t="shared" si="29"/>
        <v>0</v>
      </c>
      <c r="AT12" s="302">
        <f t="shared" si="30"/>
        <v>0</v>
      </c>
      <c r="AU12" s="302">
        <f t="shared" si="31"/>
        <v>0</v>
      </c>
      <c r="AV12" s="81">
        <f t="shared" si="32"/>
        <v>0</v>
      </c>
      <c r="AW12" s="82">
        <f t="shared" si="33"/>
        <v>0</v>
      </c>
      <c r="AX12" s="81">
        <f t="shared" si="34"/>
        <v>0</v>
      </c>
      <c r="AY12" s="83">
        <f t="shared" si="35"/>
        <v>0</v>
      </c>
      <c r="AZ12" s="83">
        <f t="shared" si="36"/>
        <v>0</v>
      </c>
      <c r="BA12" s="82">
        <f>IF(OR(B12=Feiertage!$A$16,B12=Feiertage!$A$19),U12*Zuschläge_24_31/100,IF(AZ12&gt;0,AZ12*Feiertag_mit/100,IF(AX12&gt;0,AX12*Zuschläge_Sa/100,IF(AY12&gt;0,AY12*Zuschlag_So/100,0))))</f>
        <v>0</v>
      </c>
      <c r="BB12" s="82">
        <f>IF(AND(B12&lt;&gt;0,G12=Voreinstellung_Übersicht!$D$41),IF(EG=1,W12*Über_klein/100,IF(EG=2,W12*Über_groß/100,"Fehler")),0)</f>
        <v>0</v>
      </c>
      <c r="BC12" s="299">
        <f t="shared" ca="1" si="41"/>
        <v>0</v>
      </c>
      <c r="BD12" s="219">
        <f t="shared" ca="1" si="37"/>
        <v>1</v>
      </c>
      <c r="BE12" s="303">
        <f ca="1">IF(B12="","",INDIRECT(ADDRESS(MATCH(B12,Soll_AZ,1)+MATCH("Arbeitszeit 1 ab",Voreinstellung_Übersicht!B:B,0)-1,4,,,"Voreinstellung_Übersicht"),TRUE))</f>
        <v>1.6666666666666665</v>
      </c>
      <c r="BF12" s="1">
        <f t="shared" si="42"/>
        <v>0</v>
      </c>
    </row>
    <row r="13" spans="1:58" s="1" customFormat="1" ht="15" x14ac:dyDescent="0.3">
      <c r="A13" s="218">
        <f t="shared" si="0"/>
        <v>45</v>
      </c>
      <c r="B13" s="47">
        <f t="shared" si="38"/>
        <v>42313</v>
      </c>
      <c r="C13" s="219">
        <f t="shared" si="1"/>
        <v>1</v>
      </c>
      <c r="D13" s="220" t="str">
        <f t="shared" si="2"/>
        <v/>
      </c>
      <c r="E13" s="298" t="str">
        <f t="shared" si="3"/>
        <v/>
      </c>
      <c r="F13" s="87">
        <f t="shared" si="4"/>
        <v>42313</v>
      </c>
      <c r="G13" s="147"/>
      <c r="H13" s="74"/>
      <c r="I13" s="75"/>
      <c r="J13" s="221">
        <f t="shared" si="5"/>
        <v>0</v>
      </c>
      <c r="K13" s="76"/>
      <c r="L13" s="221">
        <f t="shared" si="43"/>
        <v>0</v>
      </c>
      <c r="M13" s="74"/>
      <c r="N13" s="75"/>
      <c r="O13" s="221">
        <f t="shared" si="6"/>
        <v>0</v>
      </c>
      <c r="P13" s="76"/>
      <c r="Q13" s="221">
        <f t="shared" si="44"/>
        <v>0</v>
      </c>
      <c r="R13" s="221">
        <f t="shared" si="45"/>
        <v>0</v>
      </c>
      <c r="S13" s="221">
        <f t="shared" si="7"/>
        <v>0</v>
      </c>
      <c r="T13" s="79">
        <f t="shared" si="8"/>
        <v>0</v>
      </c>
      <c r="U13" s="79">
        <f t="shared" si="39"/>
        <v>0</v>
      </c>
      <c r="V13" s="80">
        <f t="shared" ca="1" si="9"/>
        <v>0.33333333329999998</v>
      </c>
      <c r="W13" s="249" t="str">
        <f t="shared" ca="1" si="10"/>
        <v/>
      </c>
      <c r="X13" s="293"/>
      <c r="Y13" s="221">
        <f t="shared" si="11"/>
        <v>0</v>
      </c>
      <c r="Z13" s="299">
        <f ca="1">IF(B13="","",INDIRECT(ADDRESS(MATCH(B13,Soll_AZ,1)+MATCH("Arbeitszeit 1 ab",Voreinstellung_Übersicht!B:B,0)-1,WEEKDAY(B13,2)+4,,,"Voreinstellung_Übersicht"),TRUE))</f>
        <v>0.33333333333333331</v>
      </c>
      <c r="AA13" s="300">
        <f t="shared" ca="1" si="40"/>
        <v>0</v>
      </c>
      <c r="AB13" s="219">
        <f t="shared" si="12"/>
        <v>0</v>
      </c>
      <c r="AC13" s="219">
        <f t="shared" si="13"/>
        <v>0</v>
      </c>
      <c r="AD13" s="219">
        <f t="shared" si="14"/>
        <v>0</v>
      </c>
      <c r="AE13" s="219">
        <f t="shared" si="15"/>
        <v>0</v>
      </c>
      <c r="AF13" s="219">
        <f t="shared" si="16"/>
        <v>0</v>
      </c>
      <c r="AG13" s="219">
        <f t="shared" si="17"/>
        <v>0</v>
      </c>
      <c r="AH13" s="219">
        <f t="shared" si="18"/>
        <v>0</v>
      </c>
      <c r="AI13" s="219">
        <f t="shared" si="19"/>
        <v>0</v>
      </c>
      <c r="AJ13" s="219">
        <f t="shared" si="20"/>
        <v>0</v>
      </c>
      <c r="AK13" s="219">
        <f t="shared" si="21"/>
        <v>0</v>
      </c>
      <c r="AL13" s="219">
        <f t="shared" si="22"/>
        <v>0</v>
      </c>
      <c r="AM13" s="219">
        <f t="shared" si="23"/>
        <v>0</v>
      </c>
      <c r="AN13" s="301">
        <f t="shared" si="24"/>
        <v>0</v>
      </c>
      <c r="AO13" s="301">
        <f t="shared" si="25"/>
        <v>0</v>
      </c>
      <c r="AP13" s="301">
        <f t="shared" si="26"/>
        <v>0</v>
      </c>
      <c r="AQ13" s="301">
        <f t="shared" si="27"/>
        <v>0</v>
      </c>
      <c r="AR13" s="301">
        <f t="shared" si="28"/>
        <v>0</v>
      </c>
      <c r="AS13" s="301">
        <f t="shared" si="29"/>
        <v>0</v>
      </c>
      <c r="AT13" s="302">
        <f t="shared" si="30"/>
        <v>0</v>
      </c>
      <c r="AU13" s="302">
        <f t="shared" si="31"/>
        <v>0</v>
      </c>
      <c r="AV13" s="81">
        <f t="shared" si="32"/>
        <v>0</v>
      </c>
      <c r="AW13" s="82">
        <f t="shared" si="33"/>
        <v>0</v>
      </c>
      <c r="AX13" s="81">
        <f t="shared" si="34"/>
        <v>0</v>
      </c>
      <c r="AY13" s="83">
        <f t="shared" si="35"/>
        <v>0</v>
      </c>
      <c r="AZ13" s="83">
        <f t="shared" si="36"/>
        <v>0</v>
      </c>
      <c r="BA13" s="82">
        <f>IF(OR(B13=Feiertage!$A$16,B13=Feiertage!$A$19),U13*Zuschläge_24_31/100,IF(AZ13&gt;0,AZ13*Feiertag_mit/100,IF(AX13&gt;0,AX13*Zuschläge_Sa/100,IF(AY13&gt;0,AY13*Zuschlag_So/100,0))))</f>
        <v>0</v>
      </c>
      <c r="BB13" s="82">
        <f>IF(AND(B13&lt;&gt;0,G13=Voreinstellung_Übersicht!$D$41),IF(EG=1,W13*Über_klein/100,IF(EG=2,W13*Über_groß/100,"Fehler")),0)</f>
        <v>0</v>
      </c>
      <c r="BC13" s="299">
        <f t="shared" ca="1" si="41"/>
        <v>0</v>
      </c>
      <c r="BD13" s="219">
        <f t="shared" ca="1" si="37"/>
        <v>1</v>
      </c>
      <c r="BE13" s="303">
        <f ca="1">IF(B13="","",INDIRECT(ADDRESS(MATCH(B13,Soll_AZ,1)+MATCH("Arbeitszeit 1 ab",Voreinstellung_Übersicht!B:B,0)-1,4,,,"Voreinstellung_Übersicht"),TRUE))</f>
        <v>1.6666666666666665</v>
      </c>
      <c r="BF13" s="1">
        <f t="shared" si="42"/>
        <v>0</v>
      </c>
    </row>
    <row r="14" spans="1:58" s="1" customFormat="1" ht="15" x14ac:dyDescent="0.3">
      <c r="A14" s="218">
        <f t="shared" si="0"/>
        <v>45</v>
      </c>
      <c r="B14" s="47">
        <f t="shared" si="38"/>
        <v>42314</v>
      </c>
      <c r="C14" s="219">
        <f t="shared" si="1"/>
        <v>1</v>
      </c>
      <c r="D14" s="220" t="str">
        <f t="shared" si="2"/>
        <v/>
      </c>
      <c r="E14" s="298" t="str">
        <f t="shared" si="3"/>
        <v/>
      </c>
      <c r="F14" s="87">
        <f t="shared" si="4"/>
        <v>42314</v>
      </c>
      <c r="G14" s="147"/>
      <c r="H14" s="74"/>
      <c r="I14" s="75"/>
      <c r="J14" s="221">
        <f t="shared" si="5"/>
        <v>0</v>
      </c>
      <c r="K14" s="76"/>
      <c r="L14" s="221">
        <f t="shared" si="43"/>
        <v>0</v>
      </c>
      <c r="M14" s="74"/>
      <c r="N14" s="75"/>
      <c r="O14" s="221">
        <f t="shared" si="6"/>
        <v>0</v>
      </c>
      <c r="P14" s="76"/>
      <c r="Q14" s="221">
        <f t="shared" si="44"/>
        <v>0</v>
      </c>
      <c r="R14" s="221">
        <f t="shared" si="45"/>
        <v>0</v>
      </c>
      <c r="S14" s="221">
        <f t="shared" si="7"/>
        <v>0</v>
      </c>
      <c r="T14" s="79">
        <f t="shared" si="8"/>
        <v>0</v>
      </c>
      <c r="U14" s="79">
        <f t="shared" si="39"/>
        <v>0</v>
      </c>
      <c r="V14" s="80">
        <f t="shared" ca="1" si="9"/>
        <v>0.33333333329999998</v>
      </c>
      <c r="W14" s="249" t="str">
        <f t="shared" ca="1" si="10"/>
        <v/>
      </c>
      <c r="X14" s="293"/>
      <c r="Y14" s="221">
        <f t="shared" si="11"/>
        <v>0</v>
      </c>
      <c r="Z14" s="299">
        <f ca="1">IF(B14="","",INDIRECT(ADDRESS(MATCH(B14,Soll_AZ,1)+MATCH("Arbeitszeit 1 ab",Voreinstellung_Übersicht!B:B,0)-1,WEEKDAY(B14,2)+4,,,"Voreinstellung_Übersicht"),TRUE))</f>
        <v>0.33333333333333331</v>
      </c>
      <c r="AA14" s="300">
        <f t="shared" ca="1" si="40"/>
        <v>0</v>
      </c>
      <c r="AB14" s="219">
        <f t="shared" si="12"/>
        <v>0</v>
      </c>
      <c r="AC14" s="219">
        <f t="shared" si="13"/>
        <v>0</v>
      </c>
      <c r="AD14" s="219">
        <f t="shared" si="14"/>
        <v>0</v>
      </c>
      <c r="AE14" s="219">
        <f t="shared" si="15"/>
        <v>0</v>
      </c>
      <c r="AF14" s="219">
        <f t="shared" si="16"/>
        <v>0</v>
      </c>
      <c r="AG14" s="219">
        <f t="shared" si="17"/>
        <v>0</v>
      </c>
      <c r="AH14" s="219">
        <f t="shared" si="18"/>
        <v>0</v>
      </c>
      <c r="AI14" s="219">
        <f t="shared" si="19"/>
        <v>0</v>
      </c>
      <c r="AJ14" s="219">
        <f t="shared" si="20"/>
        <v>0</v>
      </c>
      <c r="AK14" s="219">
        <f t="shared" si="21"/>
        <v>0</v>
      </c>
      <c r="AL14" s="219">
        <f t="shared" si="22"/>
        <v>0</v>
      </c>
      <c r="AM14" s="219">
        <f t="shared" si="23"/>
        <v>0</v>
      </c>
      <c r="AN14" s="301">
        <f t="shared" si="24"/>
        <v>0</v>
      </c>
      <c r="AO14" s="301">
        <f t="shared" si="25"/>
        <v>0</v>
      </c>
      <c r="AP14" s="301">
        <f t="shared" si="26"/>
        <v>0</v>
      </c>
      <c r="AQ14" s="301">
        <f t="shared" si="27"/>
        <v>0</v>
      </c>
      <c r="AR14" s="301">
        <f t="shared" si="28"/>
        <v>0</v>
      </c>
      <c r="AS14" s="301">
        <f t="shared" si="29"/>
        <v>0</v>
      </c>
      <c r="AT14" s="302">
        <f t="shared" si="30"/>
        <v>0</v>
      </c>
      <c r="AU14" s="302">
        <f t="shared" si="31"/>
        <v>0</v>
      </c>
      <c r="AV14" s="81">
        <f t="shared" si="32"/>
        <v>0</v>
      </c>
      <c r="AW14" s="82">
        <f t="shared" si="33"/>
        <v>0</v>
      </c>
      <c r="AX14" s="81">
        <f t="shared" si="34"/>
        <v>0</v>
      </c>
      <c r="AY14" s="83">
        <f t="shared" si="35"/>
        <v>0</v>
      </c>
      <c r="AZ14" s="83">
        <f t="shared" si="36"/>
        <v>0</v>
      </c>
      <c r="BA14" s="82">
        <f>IF(OR(B14=Feiertage!$A$16,B14=Feiertage!$A$19),U14*Zuschläge_24_31/100,IF(AZ14&gt;0,AZ14*Feiertag_mit/100,IF(AX14&gt;0,AX14*Zuschläge_Sa/100,IF(AY14&gt;0,AY14*Zuschlag_So/100,0))))</f>
        <v>0</v>
      </c>
      <c r="BB14" s="82">
        <f>IF(AND(B14&lt;&gt;0,G14=Voreinstellung_Übersicht!$D$41),IF(EG=1,W14*Über_klein/100,IF(EG=2,W14*Über_groß/100,"Fehler")),0)</f>
        <v>0</v>
      </c>
      <c r="BC14" s="299">
        <f t="shared" ca="1" si="41"/>
        <v>0</v>
      </c>
      <c r="BD14" s="219">
        <f t="shared" ca="1" si="37"/>
        <v>1</v>
      </c>
      <c r="BE14" s="303">
        <f ca="1">IF(B14="","",INDIRECT(ADDRESS(MATCH(B14,Soll_AZ,1)+MATCH("Arbeitszeit 1 ab",Voreinstellung_Übersicht!B:B,0)-1,4,,,"Voreinstellung_Übersicht"),TRUE))</f>
        <v>1.6666666666666665</v>
      </c>
      <c r="BF14" s="1">
        <f t="shared" si="42"/>
        <v>0</v>
      </c>
    </row>
    <row r="15" spans="1:58" s="1" customFormat="1" ht="15" x14ac:dyDescent="0.3">
      <c r="A15" s="218">
        <f t="shared" si="0"/>
        <v>45</v>
      </c>
      <c r="B15" s="47">
        <f t="shared" si="38"/>
        <v>42315</v>
      </c>
      <c r="C15" s="219">
        <f t="shared" si="1"/>
        <v>1</v>
      </c>
      <c r="D15" s="220" t="str">
        <f t="shared" si="2"/>
        <v/>
      </c>
      <c r="E15" s="298" t="str">
        <f t="shared" si="3"/>
        <v/>
      </c>
      <c r="F15" s="87">
        <f t="shared" si="4"/>
        <v>42315</v>
      </c>
      <c r="G15" s="147"/>
      <c r="H15" s="74"/>
      <c r="I15" s="75"/>
      <c r="J15" s="221">
        <f t="shared" si="5"/>
        <v>0</v>
      </c>
      <c r="K15" s="76"/>
      <c r="L15" s="221">
        <f t="shared" si="43"/>
        <v>0</v>
      </c>
      <c r="M15" s="74"/>
      <c r="N15" s="75"/>
      <c r="O15" s="221">
        <f t="shared" si="6"/>
        <v>0</v>
      </c>
      <c r="P15" s="76"/>
      <c r="Q15" s="221">
        <f t="shared" si="44"/>
        <v>0</v>
      </c>
      <c r="R15" s="221">
        <f t="shared" si="45"/>
        <v>0</v>
      </c>
      <c r="S15" s="221">
        <f t="shared" si="7"/>
        <v>0</v>
      </c>
      <c r="T15" s="79">
        <f t="shared" si="8"/>
        <v>0</v>
      </c>
      <c r="U15" s="79">
        <f t="shared" si="39"/>
        <v>0</v>
      </c>
      <c r="V15" s="80">
        <f t="shared" ca="1" si="9"/>
        <v>0.33333333329999998</v>
      </c>
      <c r="W15" s="249" t="str">
        <f t="shared" ca="1" si="10"/>
        <v/>
      </c>
      <c r="X15" s="293"/>
      <c r="Y15" s="221">
        <f t="shared" si="11"/>
        <v>0</v>
      </c>
      <c r="Z15" s="299">
        <f ca="1">IF(B15="","",INDIRECT(ADDRESS(MATCH(B15,Soll_AZ,1)+MATCH("Arbeitszeit 1 ab",Voreinstellung_Übersicht!B:B,0)-1,WEEKDAY(B15,2)+4,,,"Voreinstellung_Übersicht"),TRUE))</f>
        <v>0.33333333333333331</v>
      </c>
      <c r="AA15" s="300">
        <f t="shared" ca="1" si="40"/>
        <v>0</v>
      </c>
      <c r="AB15" s="219">
        <f t="shared" si="12"/>
        <v>0</v>
      </c>
      <c r="AC15" s="219">
        <f t="shared" si="13"/>
        <v>0</v>
      </c>
      <c r="AD15" s="219">
        <f t="shared" si="14"/>
        <v>0</v>
      </c>
      <c r="AE15" s="219">
        <f t="shared" si="15"/>
        <v>0</v>
      </c>
      <c r="AF15" s="219">
        <f t="shared" si="16"/>
        <v>0</v>
      </c>
      <c r="AG15" s="219">
        <f t="shared" si="17"/>
        <v>0</v>
      </c>
      <c r="AH15" s="219">
        <f t="shared" si="18"/>
        <v>0</v>
      </c>
      <c r="AI15" s="219">
        <f t="shared" si="19"/>
        <v>0</v>
      </c>
      <c r="AJ15" s="219">
        <f t="shared" si="20"/>
        <v>0</v>
      </c>
      <c r="AK15" s="219">
        <f t="shared" si="21"/>
        <v>0</v>
      </c>
      <c r="AL15" s="219">
        <f t="shared" si="22"/>
        <v>0</v>
      </c>
      <c r="AM15" s="219">
        <f t="shared" si="23"/>
        <v>0</v>
      </c>
      <c r="AN15" s="301">
        <f t="shared" si="24"/>
        <v>0</v>
      </c>
      <c r="AO15" s="301">
        <f t="shared" si="25"/>
        <v>0</v>
      </c>
      <c r="AP15" s="301">
        <f t="shared" si="26"/>
        <v>0</v>
      </c>
      <c r="AQ15" s="301">
        <f t="shared" si="27"/>
        <v>0</v>
      </c>
      <c r="AR15" s="301">
        <f t="shared" si="28"/>
        <v>0</v>
      </c>
      <c r="AS15" s="301">
        <f t="shared" si="29"/>
        <v>0</v>
      </c>
      <c r="AT15" s="302">
        <f t="shared" si="30"/>
        <v>0</v>
      </c>
      <c r="AU15" s="302">
        <f t="shared" si="31"/>
        <v>0</v>
      </c>
      <c r="AV15" s="81">
        <f t="shared" si="32"/>
        <v>0</v>
      </c>
      <c r="AW15" s="82">
        <f t="shared" si="33"/>
        <v>0</v>
      </c>
      <c r="AX15" s="81">
        <f t="shared" si="34"/>
        <v>0</v>
      </c>
      <c r="AY15" s="83">
        <f t="shared" si="35"/>
        <v>0</v>
      </c>
      <c r="AZ15" s="83">
        <f t="shared" si="36"/>
        <v>0</v>
      </c>
      <c r="BA15" s="82">
        <f>IF(OR(B15=Feiertage!$A$16,B15=Feiertage!$A$19),U15*Zuschläge_24_31/100,IF(AZ15&gt;0,AZ15*Feiertag_mit/100,IF(AX15&gt;0,AX15*Zuschläge_Sa/100,IF(AY15&gt;0,AY15*Zuschlag_So/100,0))))</f>
        <v>0</v>
      </c>
      <c r="BB15" s="82">
        <f>IF(AND(B15&lt;&gt;0,G15=Voreinstellung_Übersicht!$D$41),IF(EG=1,W15*Über_klein/100,IF(EG=2,W15*Über_groß/100,"Fehler")),0)</f>
        <v>0</v>
      </c>
      <c r="BC15" s="299">
        <f t="shared" ca="1" si="41"/>
        <v>0</v>
      </c>
      <c r="BD15" s="219">
        <f t="shared" ca="1" si="37"/>
        <v>1</v>
      </c>
      <c r="BE15" s="303">
        <f ca="1">IF(B15="","",INDIRECT(ADDRESS(MATCH(B15,Soll_AZ,1)+MATCH("Arbeitszeit 1 ab",Voreinstellung_Übersicht!B:B,0)-1,4,,,"Voreinstellung_Übersicht"),TRUE))</f>
        <v>1.6666666666666665</v>
      </c>
      <c r="BF15" s="1">
        <f t="shared" si="42"/>
        <v>0</v>
      </c>
    </row>
    <row r="16" spans="1:58" s="1" customFormat="1" ht="15" x14ac:dyDescent="0.3">
      <c r="A16" s="218">
        <f t="shared" si="0"/>
        <v>45</v>
      </c>
      <c r="B16" s="47">
        <f t="shared" si="38"/>
        <v>42316</v>
      </c>
      <c r="C16" s="219">
        <f t="shared" si="1"/>
        <v>0</v>
      </c>
      <c r="D16" s="220" t="str">
        <f t="shared" si="2"/>
        <v/>
      </c>
      <c r="E16" s="298" t="str">
        <f t="shared" si="3"/>
        <v/>
      </c>
      <c r="F16" s="87">
        <f t="shared" si="4"/>
        <v>42316</v>
      </c>
      <c r="G16" s="147"/>
      <c r="H16" s="74"/>
      <c r="I16" s="75"/>
      <c r="J16" s="221">
        <f t="shared" si="5"/>
        <v>0</v>
      </c>
      <c r="K16" s="76"/>
      <c r="L16" s="221">
        <f t="shared" si="43"/>
        <v>0</v>
      </c>
      <c r="M16" s="74"/>
      <c r="N16" s="75"/>
      <c r="O16" s="221">
        <f t="shared" si="6"/>
        <v>0</v>
      </c>
      <c r="P16" s="76"/>
      <c r="Q16" s="221">
        <f t="shared" si="44"/>
        <v>0</v>
      </c>
      <c r="R16" s="221">
        <f t="shared" si="45"/>
        <v>0</v>
      </c>
      <c r="S16" s="221">
        <f t="shared" si="7"/>
        <v>0</v>
      </c>
      <c r="T16" s="79">
        <f t="shared" si="8"/>
        <v>0</v>
      </c>
      <c r="U16" s="79">
        <f t="shared" si="39"/>
        <v>0</v>
      </c>
      <c r="V16" s="80">
        <f t="shared" ca="1" si="9"/>
        <v>0</v>
      </c>
      <c r="W16" s="249" t="str">
        <f t="shared" ca="1" si="10"/>
        <v/>
      </c>
      <c r="X16" s="293"/>
      <c r="Y16" s="221">
        <f t="shared" si="11"/>
        <v>0</v>
      </c>
      <c r="Z16" s="299">
        <f ca="1">IF(B16="","",INDIRECT(ADDRESS(MATCH(B16,Soll_AZ,1)+MATCH("Arbeitszeit 1 ab",Voreinstellung_Übersicht!B:B,0)-1,WEEKDAY(B16,2)+4,,,"Voreinstellung_Übersicht"),TRUE))</f>
        <v>0</v>
      </c>
      <c r="AA16" s="300">
        <f t="shared" ca="1" si="40"/>
        <v>0</v>
      </c>
      <c r="AB16" s="219">
        <f t="shared" si="12"/>
        <v>0</v>
      </c>
      <c r="AC16" s="219">
        <f t="shared" si="13"/>
        <v>0</v>
      </c>
      <c r="AD16" s="219">
        <f t="shared" si="14"/>
        <v>0</v>
      </c>
      <c r="AE16" s="219">
        <f t="shared" si="15"/>
        <v>0</v>
      </c>
      <c r="AF16" s="219">
        <f t="shared" si="16"/>
        <v>0</v>
      </c>
      <c r="AG16" s="219">
        <f t="shared" si="17"/>
        <v>0</v>
      </c>
      <c r="AH16" s="219">
        <f t="shared" si="18"/>
        <v>0</v>
      </c>
      <c r="AI16" s="219">
        <f t="shared" si="19"/>
        <v>0</v>
      </c>
      <c r="AJ16" s="219">
        <f t="shared" si="20"/>
        <v>0</v>
      </c>
      <c r="AK16" s="219">
        <f t="shared" si="21"/>
        <v>0</v>
      </c>
      <c r="AL16" s="219">
        <f t="shared" si="22"/>
        <v>0</v>
      </c>
      <c r="AM16" s="219">
        <f t="shared" si="23"/>
        <v>0</v>
      </c>
      <c r="AN16" s="301">
        <f t="shared" si="24"/>
        <v>0</v>
      </c>
      <c r="AO16" s="301">
        <f t="shared" si="25"/>
        <v>0</v>
      </c>
      <c r="AP16" s="301">
        <f t="shared" si="26"/>
        <v>0</v>
      </c>
      <c r="AQ16" s="301">
        <f t="shared" si="27"/>
        <v>0</v>
      </c>
      <c r="AR16" s="301">
        <f t="shared" si="28"/>
        <v>0</v>
      </c>
      <c r="AS16" s="301">
        <f t="shared" si="29"/>
        <v>0</v>
      </c>
      <c r="AT16" s="302">
        <f t="shared" si="30"/>
        <v>0</v>
      </c>
      <c r="AU16" s="302">
        <f t="shared" si="31"/>
        <v>0</v>
      </c>
      <c r="AV16" s="81">
        <f t="shared" si="32"/>
        <v>0</v>
      </c>
      <c r="AW16" s="82">
        <f t="shared" si="33"/>
        <v>0</v>
      </c>
      <c r="AX16" s="81">
        <f t="shared" si="34"/>
        <v>0</v>
      </c>
      <c r="AY16" s="83">
        <f t="shared" si="35"/>
        <v>0</v>
      </c>
      <c r="AZ16" s="83">
        <f t="shared" si="36"/>
        <v>0</v>
      </c>
      <c r="BA16" s="82">
        <f>IF(OR(B16=Feiertage!$A$16,B16=Feiertage!$A$19),U16*Zuschläge_24_31/100,IF(AZ16&gt;0,AZ16*Feiertag_mit/100,IF(AX16&gt;0,AX16*Zuschläge_Sa/100,IF(AY16&gt;0,AY16*Zuschlag_So/100,0))))</f>
        <v>0</v>
      </c>
      <c r="BB16" s="82">
        <f>IF(AND(B16&lt;&gt;0,G16=Voreinstellung_Übersicht!$D$41),IF(EG=1,W16*Über_klein/100,IF(EG=2,W16*Über_groß/100,"Fehler")),0)</f>
        <v>0</v>
      </c>
      <c r="BC16" s="299">
        <f t="shared" ca="1" si="41"/>
        <v>0</v>
      </c>
      <c r="BD16" s="219">
        <f t="shared" ca="1" si="37"/>
        <v>1</v>
      </c>
      <c r="BE16" s="303">
        <f ca="1">IF(B16="","",INDIRECT(ADDRESS(MATCH(B16,Soll_AZ,1)+MATCH("Arbeitszeit 1 ab",Voreinstellung_Übersicht!B:B,0)-1,4,,,"Voreinstellung_Übersicht"),TRUE))</f>
        <v>1.6666666666666665</v>
      </c>
      <c r="BF16" s="1">
        <f t="shared" si="42"/>
        <v>0</v>
      </c>
    </row>
    <row r="17" spans="1:58" s="1" customFormat="1" ht="15" x14ac:dyDescent="0.3">
      <c r="A17" s="218">
        <f t="shared" si="0"/>
        <v>46</v>
      </c>
      <c r="B17" s="47">
        <f t="shared" si="38"/>
        <v>42317</v>
      </c>
      <c r="C17" s="219">
        <f t="shared" si="1"/>
        <v>0</v>
      </c>
      <c r="D17" s="220" t="str">
        <f t="shared" si="2"/>
        <v/>
      </c>
      <c r="E17" s="298" t="str">
        <f t="shared" si="3"/>
        <v/>
      </c>
      <c r="F17" s="87">
        <f t="shared" si="4"/>
        <v>42317</v>
      </c>
      <c r="G17" s="147"/>
      <c r="H17" s="74"/>
      <c r="I17" s="75"/>
      <c r="J17" s="221">
        <f t="shared" si="5"/>
        <v>0</v>
      </c>
      <c r="K17" s="76"/>
      <c r="L17" s="221">
        <f t="shared" si="43"/>
        <v>0</v>
      </c>
      <c r="M17" s="74"/>
      <c r="N17" s="75"/>
      <c r="O17" s="221">
        <f t="shared" si="6"/>
        <v>0</v>
      </c>
      <c r="P17" s="76"/>
      <c r="Q17" s="221">
        <f t="shared" si="44"/>
        <v>0</v>
      </c>
      <c r="R17" s="221">
        <f t="shared" si="45"/>
        <v>0</v>
      </c>
      <c r="S17" s="221">
        <f t="shared" si="7"/>
        <v>0</v>
      </c>
      <c r="T17" s="79">
        <f t="shared" si="8"/>
        <v>0</v>
      </c>
      <c r="U17" s="79">
        <f t="shared" si="39"/>
        <v>0</v>
      </c>
      <c r="V17" s="80">
        <f t="shared" ca="1" si="9"/>
        <v>0</v>
      </c>
      <c r="W17" s="249" t="str">
        <f t="shared" ca="1" si="10"/>
        <v/>
      </c>
      <c r="X17" s="293"/>
      <c r="Y17" s="221">
        <f t="shared" si="11"/>
        <v>0</v>
      </c>
      <c r="Z17" s="299">
        <f ca="1">IF(B17="","",INDIRECT(ADDRESS(MATCH(B17,Soll_AZ,1)+MATCH("Arbeitszeit 1 ab",Voreinstellung_Übersicht!B:B,0)-1,WEEKDAY(B17,2)+4,,,"Voreinstellung_Übersicht"),TRUE))</f>
        <v>0</v>
      </c>
      <c r="AA17" s="300">
        <f t="shared" ca="1" si="40"/>
        <v>0</v>
      </c>
      <c r="AB17" s="219">
        <f t="shared" si="12"/>
        <v>0</v>
      </c>
      <c r="AC17" s="219">
        <f t="shared" si="13"/>
        <v>0</v>
      </c>
      <c r="AD17" s="219">
        <f t="shared" si="14"/>
        <v>0</v>
      </c>
      <c r="AE17" s="219">
        <f t="shared" si="15"/>
        <v>0</v>
      </c>
      <c r="AF17" s="219">
        <f t="shared" si="16"/>
        <v>0</v>
      </c>
      <c r="AG17" s="219">
        <f t="shared" si="17"/>
        <v>0</v>
      </c>
      <c r="AH17" s="219">
        <f t="shared" si="18"/>
        <v>0</v>
      </c>
      <c r="AI17" s="219">
        <f t="shared" si="19"/>
        <v>0</v>
      </c>
      <c r="AJ17" s="219">
        <f t="shared" si="20"/>
        <v>0</v>
      </c>
      <c r="AK17" s="219">
        <f t="shared" si="21"/>
        <v>0</v>
      </c>
      <c r="AL17" s="219">
        <f t="shared" si="22"/>
        <v>0</v>
      </c>
      <c r="AM17" s="219">
        <f t="shared" si="23"/>
        <v>0</v>
      </c>
      <c r="AN17" s="301">
        <f t="shared" si="24"/>
        <v>0</v>
      </c>
      <c r="AO17" s="301">
        <f t="shared" si="25"/>
        <v>0</v>
      </c>
      <c r="AP17" s="301">
        <f t="shared" si="26"/>
        <v>0</v>
      </c>
      <c r="AQ17" s="301">
        <f t="shared" si="27"/>
        <v>0</v>
      </c>
      <c r="AR17" s="301">
        <f t="shared" si="28"/>
        <v>0</v>
      </c>
      <c r="AS17" s="301">
        <f t="shared" si="29"/>
        <v>0</v>
      </c>
      <c r="AT17" s="302">
        <f t="shared" si="30"/>
        <v>0</v>
      </c>
      <c r="AU17" s="302">
        <f t="shared" si="31"/>
        <v>0</v>
      </c>
      <c r="AV17" s="81">
        <f t="shared" si="32"/>
        <v>0</v>
      </c>
      <c r="AW17" s="82">
        <f t="shared" si="33"/>
        <v>0</v>
      </c>
      <c r="AX17" s="81">
        <f t="shared" si="34"/>
        <v>0</v>
      </c>
      <c r="AY17" s="83">
        <f t="shared" si="35"/>
        <v>0</v>
      </c>
      <c r="AZ17" s="83">
        <f t="shared" si="36"/>
        <v>0</v>
      </c>
      <c r="BA17" s="82">
        <f>IF(OR(B17=Feiertage!$A$16,B17=Feiertage!$A$19),U17*Zuschläge_24_31/100,IF(AZ17&gt;0,AZ17*Feiertag_mit/100,IF(AX17&gt;0,AX17*Zuschläge_Sa/100,IF(AY17&gt;0,AY17*Zuschlag_So/100,0))))</f>
        <v>0</v>
      </c>
      <c r="BB17" s="82">
        <f>IF(AND(B17&lt;&gt;0,G17=Voreinstellung_Übersicht!$D$41),IF(EG=1,W17*Über_klein/100,IF(EG=2,W17*Über_groß/100,"Fehler")),0)</f>
        <v>0</v>
      </c>
      <c r="BC17" s="299">
        <f t="shared" ca="1" si="41"/>
        <v>0</v>
      </c>
      <c r="BD17" s="219">
        <f t="shared" ca="1" si="37"/>
        <v>1</v>
      </c>
      <c r="BE17" s="303">
        <f ca="1">IF(B17="","",INDIRECT(ADDRESS(MATCH(B17,Soll_AZ,1)+MATCH("Arbeitszeit 1 ab",Voreinstellung_Übersicht!B:B,0)-1,4,,,"Voreinstellung_Übersicht"),TRUE))</f>
        <v>1.6666666666666665</v>
      </c>
      <c r="BF17" s="1">
        <f t="shared" si="42"/>
        <v>0</v>
      </c>
    </row>
    <row r="18" spans="1:58" s="1" customFormat="1" ht="15" x14ac:dyDescent="0.3">
      <c r="A18" s="218">
        <f t="shared" si="0"/>
        <v>46</v>
      </c>
      <c r="B18" s="47">
        <f t="shared" si="38"/>
        <v>42318</v>
      </c>
      <c r="C18" s="219">
        <f t="shared" si="1"/>
        <v>1</v>
      </c>
      <c r="D18" s="220" t="str">
        <f t="shared" si="2"/>
        <v/>
      </c>
      <c r="E18" s="298" t="str">
        <f t="shared" si="3"/>
        <v/>
      </c>
      <c r="F18" s="87">
        <f t="shared" si="4"/>
        <v>42318</v>
      </c>
      <c r="G18" s="147"/>
      <c r="H18" s="74"/>
      <c r="I18" s="75"/>
      <c r="J18" s="221">
        <f t="shared" si="5"/>
        <v>0</v>
      </c>
      <c r="K18" s="76"/>
      <c r="L18" s="221">
        <f t="shared" si="43"/>
        <v>0</v>
      </c>
      <c r="M18" s="74"/>
      <c r="N18" s="75"/>
      <c r="O18" s="221">
        <f t="shared" si="6"/>
        <v>0</v>
      </c>
      <c r="P18" s="76"/>
      <c r="Q18" s="221">
        <f t="shared" si="44"/>
        <v>0</v>
      </c>
      <c r="R18" s="221">
        <f t="shared" si="45"/>
        <v>0</v>
      </c>
      <c r="S18" s="221">
        <f t="shared" si="7"/>
        <v>0</v>
      </c>
      <c r="T18" s="79">
        <f t="shared" si="8"/>
        <v>0</v>
      </c>
      <c r="U18" s="79">
        <f t="shared" si="39"/>
        <v>0</v>
      </c>
      <c r="V18" s="80">
        <f t="shared" ca="1" si="9"/>
        <v>0.33333333329999998</v>
      </c>
      <c r="W18" s="249" t="str">
        <f t="shared" ca="1" si="10"/>
        <v/>
      </c>
      <c r="X18" s="293"/>
      <c r="Y18" s="221">
        <f t="shared" si="11"/>
        <v>0</v>
      </c>
      <c r="Z18" s="299">
        <f ca="1">IF(B18="","",INDIRECT(ADDRESS(MATCH(B18,Soll_AZ,1)+MATCH("Arbeitszeit 1 ab",Voreinstellung_Übersicht!B:B,0)-1,WEEKDAY(B18,2)+4,,,"Voreinstellung_Übersicht"),TRUE))</f>
        <v>0.33333333333333331</v>
      </c>
      <c r="AA18" s="300">
        <f t="shared" ca="1" si="40"/>
        <v>0</v>
      </c>
      <c r="AB18" s="219">
        <f t="shared" si="12"/>
        <v>0</v>
      </c>
      <c r="AC18" s="219">
        <f t="shared" si="13"/>
        <v>0</v>
      </c>
      <c r="AD18" s="219">
        <f t="shared" si="14"/>
        <v>0</v>
      </c>
      <c r="AE18" s="219">
        <f t="shared" si="15"/>
        <v>0</v>
      </c>
      <c r="AF18" s="219">
        <f t="shared" si="16"/>
        <v>0</v>
      </c>
      <c r="AG18" s="219">
        <f t="shared" si="17"/>
        <v>0</v>
      </c>
      <c r="AH18" s="219">
        <f t="shared" si="18"/>
        <v>0</v>
      </c>
      <c r="AI18" s="219">
        <f t="shared" si="19"/>
        <v>0</v>
      </c>
      <c r="AJ18" s="219">
        <f t="shared" si="20"/>
        <v>0</v>
      </c>
      <c r="AK18" s="219">
        <f t="shared" si="21"/>
        <v>0</v>
      </c>
      <c r="AL18" s="219">
        <f t="shared" si="22"/>
        <v>0</v>
      </c>
      <c r="AM18" s="219">
        <f t="shared" si="23"/>
        <v>0</v>
      </c>
      <c r="AN18" s="301">
        <f t="shared" si="24"/>
        <v>0</v>
      </c>
      <c r="AO18" s="301">
        <f t="shared" si="25"/>
        <v>0</v>
      </c>
      <c r="AP18" s="301">
        <f t="shared" si="26"/>
        <v>0</v>
      </c>
      <c r="AQ18" s="301">
        <f t="shared" si="27"/>
        <v>0</v>
      </c>
      <c r="AR18" s="301">
        <f t="shared" si="28"/>
        <v>0</v>
      </c>
      <c r="AS18" s="301">
        <f t="shared" si="29"/>
        <v>0</v>
      </c>
      <c r="AT18" s="302">
        <f t="shared" si="30"/>
        <v>0</v>
      </c>
      <c r="AU18" s="302">
        <f t="shared" si="31"/>
        <v>0</v>
      </c>
      <c r="AV18" s="81">
        <f t="shared" si="32"/>
        <v>0</v>
      </c>
      <c r="AW18" s="82">
        <f t="shared" si="33"/>
        <v>0</v>
      </c>
      <c r="AX18" s="81">
        <f t="shared" si="34"/>
        <v>0</v>
      </c>
      <c r="AY18" s="83">
        <f t="shared" si="35"/>
        <v>0</v>
      </c>
      <c r="AZ18" s="83">
        <f t="shared" si="36"/>
        <v>0</v>
      </c>
      <c r="BA18" s="82">
        <f>IF(OR(B18=Feiertage!$A$16,B18=Feiertage!$A$19),U18*Zuschläge_24_31/100,IF(AZ18&gt;0,AZ18*Feiertag_mit/100,IF(AX18&gt;0,AX18*Zuschläge_Sa/100,IF(AY18&gt;0,AY18*Zuschlag_So/100,0))))</f>
        <v>0</v>
      </c>
      <c r="BB18" s="82">
        <f>IF(AND(B18&lt;&gt;0,G18=Voreinstellung_Übersicht!$D$41),IF(EG=1,W18*Über_klein/100,IF(EG=2,W18*Über_groß/100,"Fehler")),0)</f>
        <v>0</v>
      </c>
      <c r="BC18" s="299">
        <f t="shared" ca="1" si="41"/>
        <v>0</v>
      </c>
      <c r="BD18" s="219">
        <f t="shared" ca="1" si="37"/>
        <v>1</v>
      </c>
      <c r="BE18" s="303">
        <f ca="1">IF(B18="","",INDIRECT(ADDRESS(MATCH(B18,Soll_AZ,1)+MATCH("Arbeitszeit 1 ab",Voreinstellung_Übersicht!B:B,0)-1,4,,,"Voreinstellung_Übersicht"),TRUE))</f>
        <v>1.6666666666666665</v>
      </c>
      <c r="BF18" s="1">
        <f t="shared" si="42"/>
        <v>0</v>
      </c>
    </row>
    <row r="19" spans="1:58" s="1" customFormat="1" ht="15" x14ac:dyDescent="0.3">
      <c r="A19" s="218">
        <f t="shared" si="0"/>
        <v>46</v>
      </c>
      <c r="B19" s="47">
        <f t="shared" si="38"/>
        <v>42319</v>
      </c>
      <c r="C19" s="219">
        <f t="shared" si="1"/>
        <v>1</v>
      </c>
      <c r="D19" s="220" t="str">
        <f t="shared" si="2"/>
        <v/>
      </c>
      <c r="E19" s="298" t="str">
        <f t="shared" si="3"/>
        <v/>
      </c>
      <c r="F19" s="87">
        <f t="shared" si="4"/>
        <v>42319</v>
      </c>
      <c r="G19" s="147"/>
      <c r="H19" s="74"/>
      <c r="I19" s="75"/>
      <c r="J19" s="221">
        <f t="shared" si="5"/>
        <v>0</v>
      </c>
      <c r="K19" s="76"/>
      <c r="L19" s="221">
        <f t="shared" si="43"/>
        <v>0</v>
      </c>
      <c r="M19" s="74"/>
      <c r="N19" s="75"/>
      <c r="O19" s="221">
        <f t="shared" si="6"/>
        <v>0</v>
      </c>
      <c r="P19" s="76"/>
      <c r="Q19" s="221">
        <f t="shared" si="44"/>
        <v>0</v>
      </c>
      <c r="R19" s="221">
        <f t="shared" si="45"/>
        <v>0</v>
      </c>
      <c r="S19" s="221">
        <f t="shared" si="7"/>
        <v>0</v>
      </c>
      <c r="T19" s="79">
        <f t="shared" si="8"/>
        <v>0</v>
      </c>
      <c r="U19" s="79">
        <f t="shared" si="39"/>
        <v>0</v>
      </c>
      <c r="V19" s="80">
        <f t="shared" ca="1" si="9"/>
        <v>0.33333333329999998</v>
      </c>
      <c r="W19" s="249" t="str">
        <f t="shared" ca="1" si="10"/>
        <v/>
      </c>
      <c r="X19" s="293"/>
      <c r="Y19" s="221">
        <f t="shared" si="11"/>
        <v>0</v>
      </c>
      <c r="Z19" s="299">
        <f ca="1">IF(B19="","",INDIRECT(ADDRESS(MATCH(B19,Soll_AZ,1)+MATCH("Arbeitszeit 1 ab",Voreinstellung_Übersicht!B:B,0)-1,WEEKDAY(B19,2)+4,,,"Voreinstellung_Übersicht"),TRUE))</f>
        <v>0.33333333333333331</v>
      </c>
      <c r="AA19" s="300">
        <f t="shared" ca="1" si="40"/>
        <v>0</v>
      </c>
      <c r="AB19" s="219">
        <f t="shared" si="12"/>
        <v>0</v>
      </c>
      <c r="AC19" s="219">
        <f t="shared" si="13"/>
        <v>0</v>
      </c>
      <c r="AD19" s="219">
        <f t="shared" si="14"/>
        <v>0</v>
      </c>
      <c r="AE19" s="219">
        <f t="shared" si="15"/>
        <v>0</v>
      </c>
      <c r="AF19" s="219">
        <f t="shared" si="16"/>
        <v>0</v>
      </c>
      <c r="AG19" s="219">
        <f t="shared" si="17"/>
        <v>0</v>
      </c>
      <c r="AH19" s="219">
        <f t="shared" si="18"/>
        <v>0</v>
      </c>
      <c r="AI19" s="219">
        <f t="shared" si="19"/>
        <v>0</v>
      </c>
      <c r="AJ19" s="219">
        <f t="shared" si="20"/>
        <v>0</v>
      </c>
      <c r="AK19" s="219">
        <f t="shared" si="21"/>
        <v>0</v>
      </c>
      <c r="AL19" s="219">
        <f t="shared" si="22"/>
        <v>0</v>
      </c>
      <c r="AM19" s="219">
        <f t="shared" si="23"/>
        <v>0</v>
      </c>
      <c r="AN19" s="301">
        <f t="shared" si="24"/>
        <v>0</v>
      </c>
      <c r="AO19" s="301">
        <f t="shared" si="25"/>
        <v>0</v>
      </c>
      <c r="AP19" s="301">
        <f t="shared" si="26"/>
        <v>0</v>
      </c>
      <c r="AQ19" s="301">
        <f t="shared" si="27"/>
        <v>0</v>
      </c>
      <c r="AR19" s="301">
        <f t="shared" si="28"/>
        <v>0</v>
      </c>
      <c r="AS19" s="301">
        <f t="shared" si="29"/>
        <v>0</v>
      </c>
      <c r="AT19" s="302">
        <f t="shared" si="30"/>
        <v>0</v>
      </c>
      <c r="AU19" s="302">
        <f t="shared" si="31"/>
        <v>0</v>
      </c>
      <c r="AV19" s="81">
        <f t="shared" si="32"/>
        <v>0</v>
      </c>
      <c r="AW19" s="82">
        <f t="shared" si="33"/>
        <v>0</v>
      </c>
      <c r="AX19" s="81">
        <f t="shared" si="34"/>
        <v>0</v>
      </c>
      <c r="AY19" s="83">
        <f t="shared" si="35"/>
        <v>0</v>
      </c>
      <c r="AZ19" s="83">
        <f t="shared" si="36"/>
        <v>0</v>
      </c>
      <c r="BA19" s="82">
        <f>IF(OR(B19=Feiertage!$A$16,B19=Feiertage!$A$19),U19*Zuschläge_24_31/100,IF(AZ19&gt;0,AZ19*Feiertag_mit/100,IF(AX19&gt;0,AX19*Zuschläge_Sa/100,IF(AY19&gt;0,AY19*Zuschlag_So/100,0))))</f>
        <v>0</v>
      </c>
      <c r="BB19" s="82">
        <f>IF(AND(B19&lt;&gt;0,G19=Voreinstellung_Übersicht!$D$41),IF(EG=1,W19*Über_klein/100,IF(EG=2,W19*Über_groß/100,"Fehler")),0)</f>
        <v>0</v>
      </c>
      <c r="BC19" s="299">
        <f t="shared" ca="1" si="41"/>
        <v>0</v>
      </c>
      <c r="BD19" s="219">
        <f t="shared" ca="1" si="37"/>
        <v>1</v>
      </c>
      <c r="BE19" s="303">
        <f ca="1">IF(B19="","",INDIRECT(ADDRESS(MATCH(B19,Soll_AZ,1)+MATCH("Arbeitszeit 1 ab",Voreinstellung_Übersicht!B:B,0)-1,4,,,"Voreinstellung_Übersicht"),TRUE))</f>
        <v>1.6666666666666665</v>
      </c>
      <c r="BF19" s="1">
        <f t="shared" si="42"/>
        <v>0</v>
      </c>
    </row>
    <row r="20" spans="1:58" s="1" customFormat="1" ht="15" x14ac:dyDescent="0.3">
      <c r="A20" s="218">
        <f t="shared" si="0"/>
        <v>46</v>
      </c>
      <c r="B20" s="47">
        <f t="shared" si="38"/>
        <v>42320</v>
      </c>
      <c r="C20" s="219">
        <f t="shared" si="1"/>
        <v>1</v>
      </c>
      <c r="D20" s="220" t="str">
        <f t="shared" si="2"/>
        <v/>
      </c>
      <c r="E20" s="298" t="str">
        <f t="shared" si="3"/>
        <v/>
      </c>
      <c r="F20" s="87">
        <f t="shared" si="4"/>
        <v>42320</v>
      </c>
      <c r="G20" s="147"/>
      <c r="H20" s="74"/>
      <c r="I20" s="75"/>
      <c r="J20" s="221">
        <f t="shared" si="5"/>
        <v>0</v>
      </c>
      <c r="K20" s="76"/>
      <c r="L20" s="221">
        <f t="shared" si="43"/>
        <v>0</v>
      </c>
      <c r="M20" s="74"/>
      <c r="N20" s="75"/>
      <c r="O20" s="221">
        <f t="shared" si="6"/>
        <v>0</v>
      </c>
      <c r="P20" s="76"/>
      <c r="Q20" s="221">
        <f t="shared" si="44"/>
        <v>0</v>
      </c>
      <c r="R20" s="221">
        <f t="shared" si="45"/>
        <v>0</v>
      </c>
      <c r="S20" s="221">
        <f t="shared" si="7"/>
        <v>0</v>
      </c>
      <c r="T20" s="79">
        <f t="shared" si="8"/>
        <v>0</v>
      </c>
      <c r="U20" s="79">
        <f t="shared" si="39"/>
        <v>0</v>
      </c>
      <c r="V20" s="80">
        <f t="shared" ca="1" si="9"/>
        <v>0.33333333329999998</v>
      </c>
      <c r="W20" s="249" t="str">
        <f t="shared" ca="1" si="10"/>
        <v/>
      </c>
      <c r="X20" s="293"/>
      <c r="Y20" s="221">
        <f t="shared" si="11"/>
        <v>0</v>
      </c>
      <c r="Z20" s="299">
        <f ca="1">IF(B20="","",INDIRECT(ADDRESS(MATCH(B20,Soll_AZ,1)+MATCH("Arbeitszeit 1 ab",Voreinstellung_Übersicht!B:B,0)-1,WEEKDAY(B20,2)+4,,,"Voreinstellung_Übersicht"),TRUE))</f>
        <v>0.33333333333333331</v>
      </c>
      <c r="AA20" s="300">
        <f t="shared" ca="1" si="40"/>
        <v>0</v>
      </c>
      <c r="AB20" s="219">
        <f t="shared" si="12"/>
        <v>0</v>
      </c>
      <c r="AC20" s="219">
        <f t="shared" si="13"/>
        <v>0</v>
      </c>
      <c r="AD20" s="219">
        <f t="shared" si="14"/>
        <v>0</v>
      </c>
      <c r="AE20" s="219">
        <f t="shared" si="15"/>
        <v>0</v>
      </c>
      <c r="AF20" s="219">
        <f t="shared" si="16"/>
        <v>0</v>
      </c>
      <c r="AG20" s="219">
        <f t="shared" si="17"/>
        <v>0</v>
      </c>
      <c r="AH20" s="219">
        <f t="shared" si="18"/>
        <v>0</v>
      </c>
      <c r="AI20" s="219">
        <f t="shared" si="19"/>
        <v>0</v>
      </c>
      <c r="AJ20" s="219">
        <f t="shared" si="20"/>
        <v>0</v>
      </c>
      <c r="AK20" s="219">
        <f t="shared" si="21"/>
        <v>0</v>
      </c>
      <c r="AL20" s="219">
        <f t="shared" si="22"/>
        <v>0</v>
      </c>
      <c r="AM20" s="219">
        <f t="shared" si="23"/>
        <v>0</v>
      </c>
      <c r="AN20" s="301">
        <f t="shared" si="24"/>
        <v>0</v>
      </c>
      <c r="AO20" s="301">
        <f t="shared" si="25"/>
        <v>0</v>
      </c>
      <c r="AP20" s="301">
        <f t="shared" si="26"/>
        <v>0</v>
      </c>
      <c r="AQ20" s="301">
        <f t="shared" si="27"/>
        <v>0</v>
      </c>
      <c r="AR20" s="301">
        <f t="shared" si="28"/>
        <v>0</v>
      </c>
      <c r="AS20" s="301">
        <f t="shared" si="29"/>
        <v>0</v>
      </c>
      <c r="AT20" s="302">
        <f t="shared" si="30"/>
        <v>0</v>
      </c>
      <c r="AU20" s="302">
        <f t="shared" si="31"/>
        <v>0</v>
      </c>
      <c r="AV20" s="81">
        <f t="shared" si="32"/>
        <v>0</v>
      </c>
      <c r="AW20" s="82">
        <f t="shared" si="33"/>
        <v>0</v>
      </c>
      <c r="AX20" s="81">
        <f t="shared" si="34"/>
        <v>0</v>
      </c>
      <c r="AY20" s="83">
        <f t="shared" si="35"/>
        <v>0</v>
      </c>
      <c r="AZ20" s="83">
        <f t="shared" si="36"/>
        <v>0</v>
      </c>
      <c r="BA20" s="82">
        <f>IF(OR(B20=Feiertage!$A$16,B20=Feiertage!$A$19),U20*Zuschläge_24_31/100,IF(AZ20&gt;0,AZ20*Feiertag_mit/100,IF(AX20&gt;0,AX20*Zuschläge_Sa/100,IF(AY20&gt;0,AY20*Zuschlag_So/100,0))))</f>
        <v>0</v>
      </c>
      <c r="BB20" s="82">
        <f>IF(AND(B20&lt;&gt;0,G20=Voreinstellung_Übersicht!$D$41),IF(EG=1,W20*Über_klein/100,IF(EG=2,W20*Über_groß/100,"Fehler")),0)</f>
        <v>0</v>
      </c>
      <c r="BC20" s="299">
        <f t="shared" ca="1" si="41"/>
        <v>0</v>
      </c>
      <c r="BD20" s="219">
        <f t="shared" ca="1" si="37"/>
        <v>1</v>
      </c>
      <c r="BE20" s="303">
        <f ca="1">IF(B20="","",INDIRECT(ADDRESS(MATCH(B20,Soll_AZ,1)+MATCH("Arbeitszeit 1 ab",Voreinstellung_Übersicht!B:B,0)-1,4,,,"Voreinstellung_Übersicht"),TRUE))</f>
        <v>1.6666666666666665</v>
      </c>
      <c r="BF20" s="1">
        <f t="shared" si="42"/>
        <v>0</v>
      </c>
    </row>
    <row r="21" spans="1:58" s="1" customFormat="1" ht="15" x14ac:dyDescent="0.3">
      <c r="A21" s="218">
        <f t="shared" si="0"/>
        <v>46</v>
      </c>
      <c r="B21" s="47">
        <f t="shared" si="38"/>
        <v>42321</v>
      </c>
      <c r="C21" s="219">
        <f t="shared" si="1"/>
        <v>1</v>
      </c>
      <c r="D21" s="220" t="str">
        <f t="shared" si="2"/>
        <v/>
      </c>
      <c r="E21" s="298" t="str">
        <f t="shared" si="3"/>
        <v/>
      </c>
      <c r="F21" s="87">
        <f t="shared" si="4"/>
        <v>42321</v>
      </c>
      <c r="G21" s="147"/>
      <c r="H21" s="74"/>
      <c r="I21" s="75"/>
      <c r="J21" s="221">
        <f t="shared" si="5"/>
        <v>0</v>
      </c>
      <c r="K21" s="76"/>
      <c r="L21" s="221">
        <f t="shared" si="43"/>
        <v>0</v>
      </c>
      <c r="M21" s="74"/>
      <c r="N21" s="75"/>
      <c r="O21" s="221">
        <f t="shared" si="6"/>
        <v>0</v>
      </c>
      <c r="P21" s="76"/>
      <c r="Q21" s="221">
        <f t="shared" si="44"/>
        <v>0</v>
      </c>
      <c r="R21" s="221">
        <f t="shared" si="45"/>
        <v>0</v>
      </c>
      <c r="S21" s="221">
        <f t="shared" si="7"/>
        <v>0</v>
      </c>
      <c r="T21" s="79">
        <f t="shared" si="8"/>
        <v>0</v>
      </c>
      <c r="U21" s="79">
        <f t="shared" si="39"/>
        <v>0</v>
      </c>
      <c r="V21" s="80">
        <f t="shared" ca="1" si="9"/>
        <v>0.33333333329999998</v>
      </c>
      <c r="W21" s="249" t="str">
        <f t="shared" ca="1" si="10"/>
        <v/>
      </c>
      <c r="X21" s="293"/>
      <c r="Y21" s="221">
        <f t="shared" si="11"/>
        <v>0</v>
      </c>
      <c r="Z21" s="299">
        <f ca="1">IF(B21="","",INDIRECT(ADDRESS(MATCH(B21,Soll_AZ,1)+MATCH("Arbeitszeit 1 ab",Voreinstellung_Übersicht!B:B,0)-1,WEEKDAY(B21,2)+4,,,"Voreinstellung_Übersicht"),TRUE))</f>
        <v>0.33333333333333331</v>
      </c>
      <c r="AA21" s="300">
        <f t="shared" ca="1" si="40"/>
        <v>0</v>
      </c>
      <c r="AB21" s="219">
        <f t="shared" si="12"/>
        <v>0</v>
      </c>
      <c r="AC21" s="219">
        <f t="shared" si="13"/>
        <v>0</v>
      </c>
      <c r="AD21" s="219">
        <f t="shared" si="14"/>
        <v>0</v>
      </c>
      <c r="AE21" s="219">
        <f t="shared" si="15"/>
        <v>0</v>
      </c>
      <c r="AF21" s="219">
        <f t="shared" si="16"/>
        <v>0</v>
      </c>
      <c r="AG21" s="219">
        <f t="shared" si="17"/>
        <v>0</v>
      </c>
      <c r="AH21" s="219">
        <f t="shared" si="18"/>
        <v>0</v>
      </c>
      <c r="AI21" s="219">
        <f t="shared" si="19"/>
        <v>0</v>
      </c>
      <c r="AJ21" s="219">
        <f t="shared" si="20"/>
        <v>0</v>
      </c>
      <c r="AK21" s="219">
        <f t="shared" si="21"/>
        <v>0</v>
      </c>
      <c r="AL21" s="219">
        <f t="shared" si="22"/>
        <v>0</v>
      </c>
      <c r="AM21" s="219">
        <f t="shared" si="23"/>
        <v>0</v>
      </c>
      <c r="AN21" s="301">
        <f t="shared" si="24"/>
        <v>0</v>
      </c>
      <c r="AO21" s="301">
        <f t="shared" si="25"/>
        <v>0</v>
      </c>
      <c r="AP21" s="301">
        <f t="shared" si="26"/>
        <v>0</v>
      </c>
      <c r="AQ21" s="301">
        <f t="shared" si="27"/>
        <v>0</v>
      </c>
      <c r="AR21" s="301">
        <f t="shared" si="28"/>
        <v>0</v>
      </c>
      <c r="AS21" s="301">
        <f t="shared" si="29"/>
        <v>0</v>
      </c>
      <c r="AT21" s="302">
        <f t="shared" si="30"/>
        <v>0</v>
      </c>
      <c r="AU21" s="302">
        <f t="shared" si="31"/>
        <v>0</v>
      </c>
      <c r="AV21" s="81">
        <f t="shared" si="32"/>
        <v>0</v>
      </c>
      <c r="AW21" s="82">
        <f t="shared" si="33"/>
        <v>0</v>
      </c>
      <c r="AX21" s="81">
        <f t="shared" si="34"/>
        <v>0</v>
      </c>
      <c r="AY21" s="83">
        <f t="shared" si="35"/>
        <v>0</v>
      </c>
      <c r="AZ21" s="83">
        <f t="shared" si="36"/>
        <v>0</v>
      </c>
      <c r="BA21" s="82">
        <f>IF(OR(B21=Feiertage!$A$16,B21=Feiertage!$A$19),U21*Zuschläge_24_31/100,IF(AZ21&gt;0,AZ21*Feiertag_mit/100,IF(AX21&gt;0,AX21*Zuschläge_Sa/100,IF(AY21&gt;0,AY21*Zuschlag_So/100,0))))</f>
        <v>0</v>
      </c>
      <c r="BB21" s="82">
        <f>IF(AND(B21&lt;&gt;0,G21=Voreinstellung_Übersicht!$D$41),IF(EG=1,W21*Über_klein/100,IF(EG=2,W21*Über_groß/100,"Fehler")),0)</f>
        <v>0</v>
      </c>
      <c r="BC21" s="299">
        <f t="shared" ca="1" si="41"/>
        <v>0</v>
      </c>
      <c r="BD21" s="219">
        <f t="shared" ca="1" si="37"/>
        <v>1</v>
      </c>
      <c r="BE21" s="303">
        <f ca="1">IF(B21="","",INDIRECT(ADDRESS(MATCH(B21,Soll_AZ,1)+MATCH("Arbeitszeit 1 ab",Voreinstellung_Übersicht!B:B,0)-1,4,,,"Voreinstellung_Übersicht"),TRUE))</f>
        <v>1.6666666666666665</v>
      </c>
      <c r="BF21" s="1">
        <f t="shared" si="42"/>
        <v>0</v>
      </c>
    </row>
    <row r="22" spans="1:58" s="1" customFormat="1" ht="15" x14ac:dyDescent="0.3">
      <c r="A22" s="218">
        <f t="shared" si="0"/>
        <v>46</v>
      </c>
      <c r="B22" s="47">
        <f t="shared" si="38"/>
        <v>42322</v>
      </c>
      <c r="C22" s="219">
        <f t="shared" si="1"/>
        <v>1</v>
      </c>
      <c r="D22" s="220" t="str">
        <f t="shared" si="2"/>
        <v/>
      </c>
      <c r="E22" s="298" t="str">
        <f t="shared" si="3"/>
        <v/>
      </c>
      <c r="F22" s="87">
        <f t="shared" si="4"/>
        <v>42322</v>
      </c>
      <c r="G22" s="147"/>
      <c r="H22" s="74"/>
      <c r="I22" s="75"/>
      <c r="J22" s="221">
        <f t="shared" si="5"/>
        <v>0</v>
      </c>
      <c r="K22" s="76"/>
      <c r="L22" s="221">
        <f t="shared" si="43"/>
        <v>0</v>
      </c>
      <c r="M22" s="74"/>
      <c r="N22" s="75"/>
      <c r="O22" s="221">
        <f t="shared" si="6"/>
        <v>0</v>
      </c>
      <c r="P22" s="76"/>
      <c r="Q22" s="221">
        <f t="shared" si="44"/>
        <v>0</v>
      </c>
      <c r="R22" s="221">
        <f t="shared" si="45"/>
        <v>0</v>
      </c>
      <c r="S22" s="221">
        <f t="shared" si="7"/>
        <v>0</v>
      </c>
      <c r="T22" s="79">
        <f t="shared" si="8"/>
        <v>0</v>
      </c>
      <c r="U22" s="79">
        <f t="shared" si="39"/>
        <v>0</v>
      </c>
      <c r="V22" s="80">
        <f t="shared" ca="1" si="9"/>
        <v>0.33333333329999998</v>
      </c>
      <c r="W22" s="249" t="str">
        <f t="shared" ca="1" si="10"/>
        <v/>
      </c>
      <c r="X22" s="293"/>
      <c r="Y22" s="221">
        <f t="shared" si="11"/>
        <v>0</v>
      </c>
      <c r="Z22" s="299">
        <f ca="1">IF(B22="","",INDIRECT(ADDRESS(MATCH(B22,Soll_AZ,1)+MATCH("Arbeitszeit 1 ab",Voreinstellung_Übersicht!B:B,0)-1,WEEKDAY(B22,2)+4,,,"Voreinstellung_Übersicht"),TRUE))</f>
        <v>0.33333333333333331</v>
      </c>
      <c r="AA22" s="300">
        <f t="shared" ca="1" si="40"/>
        <v>0</v>
      </c>
      <c r="AB22" s="219">
        <f t="shared" si="12"/>
        <v>0</v>
      </c>
      <c r="AC22" s="219">
        <f t="shared" si="13"/>
        <v>0</v>
      </c>
      <c r="AD22" s="219">
        <f t="shared" si="14"/>
        <v>0</v>
      </c>
      <c r="AE22" s="219">
        <f t="shared" si="15"/>
        <v>0</v>
      </c>
      <c r="AF22" s="219">
        <f t="shared" si="16"/>
        <v>0</v>
      </c>
      <c r="AG22" s="219">
        <f t="shared" si="17"/>
        <v>0</v>
      </c>
      <c r="AH22" s="219">
        <f t="shared" si="18"/>
        <v>0</v>
      </c>
      <c r="AI22" s="219">
        <f t="shared" si="19"/>
        <v>0</v>
      </c>
      <c r="AJ22" s="219">
        <f t="shared" si="20"/>
        <v>0</v>
      </c>
      <c r="AK22" s="219">
        <f t="shared" si="21"/>
        <v>0</v>
      </c>
      <c r="AL22" s="219">
        <f t="shared" si="22"/>
        <v>0</v>
      </c>
      <c r="AM22" s="219">
        <f t="shared" si="23"/>
        <v>0</v>
      </c>
      <c r="AN22" s="301">
        <f t="shared" si="24"/>
        <v>0</v>
      </c>
      <c r="AO22" s="301">
        <f t="shared" si="25"/>
        <v>0</v>
      </c>
      <c r="AP22" s="301">
        <f t="shared" si="26"/>
        <v>0</v>
      </c>
      <c r="AQ22" s="301">
        <f t="shared" si="27"/>
        <v>0</v>
      </c>
      <c r="AR22" s="301">
        <f t="shared" si="28"/>
        <v>0</v>
      </c>
      <c r="AS22" s="301">
        <f t="shared" si="29"/>
        <v>0</v>
      </c>
      <c r="AT22" s="302">
        <f t="shared" si="30"/>
        <v>0</v>
      </c>
      <c r="AU22" s="302">
        <f t="shared" si="31"/>
        <v>0</v>
      </c>
      <c r="AV22" s="81">
        <f t="shared" si="32"/>
        <v>0</v>
      </c>
      <c r="AW22" s="82">
        <f t="shared" si="33"/>
        <v>0</v>
      </c>
      <c r="AX22" s="81">
        <f t="shared" si="34"/>
        <v>0</v>
      </c>
      <c r="AY22" s="83">
        <f t="shared" si="35"/>
        <v>0</v>
      </c>
      <c r="AZ22" s="83">
        <f t="shared" si="36"/>
        <v>0</v>
      </c>
      <c r="BA22" s="82">
        <f>IF(OR(B22=Feiertage!$A$16,B22=Feiertage!$A$19),U22*Zuschläge_24_31/100,IF(AZ22&gt;0,AZ22*Feiertag_mit/100,IF(AX22&gt;0,AX22*Zuschläge_Sa/100,IF(AY22&gt;0,AY22*Zuschlag_So/100,0))))</f>
        <v>0</v>
      </c>
      <c r="BB22" s="82">
        <f>IF(AND(B22&lt;&gt;0,G22=Voreinstellung_Übersicht!$D$41),IF(EG=1,W22*Über_klein/100,IF(EG=2,W22*Über_groß/100,"Fehler")),0)</f>
        <v>0</v>
      </c>
      <c r="BC22" s="299">
        <f t="shared" ca="1" si="41"/>
        <v>0</v>
      </c>
      <c r="BD22" s="219">
        <f t="shared" ca="1" si="37"/>
        <v>1</v>
      </c>
      <c r="BE22" s="303">
        <f ca="1">IF(B22="","",INDIRECT(ADDRESS(MATCH(B22,Soll_AZ,1)+MATCH("Arbeitszeit 1 ab",Voreinstellung_Übersicht!B:B,0)-1,4,,,"Voreinstellung_Übersicht"),TRUE))</f>
        <v>1.6666666666666665</v>
      </c>
      <c r="BF22" s="1">
        <f t="shared" si="42"/>
        <v>0</v>
      </c>
    </row>
    <row r="23" spans="1:58" s="1" customFormat="1" ht="15" x14ac:dyDescent="0.3">
      <c r="A23" s="218">
        <f t="shared" si="0"/>
        <v>46</v>
      </c>
      <c r="B23" s="47">
        <f t="shared" si="38"/>
        <v>42323</v>
      </c>
      <c r="C23" s="219">
        <f t="shared" si="1"/>
        <v>0</v>
      </c>
      <c r="D23" s="220" t="str">
        <f t="shared" si="2"/>
        <v/>
      </c>
      <c r="E23" s="298" t="str">
        <f t="shared" si="3"/>
        <v/>
      </c>
      <c r="F23" s="87">
        <f t="shared" si="4"/>
        <v>42323</v>
      </c>
      <c r="G23" s="147"/>
      <c r="H23" s="74"/>
      <c r="I23" s="75"/>
      <c r="J23" s="221">
        <f t="shared" si="5"/>
        <v>0</v>
      </c>
      <c r="K23" s="76"/>
      <c r="L23" s="221">
        <f t="shared" si="43"/>
        <v>0</v>
      </c>
      <c r="M23" s="74"/>
      <c r="N23" s="75"/>
      <c r="O23" s="221">
        <f t="shared" si="6"/>
        <v>0</v>
      </c>
      <c r="P23" s="76"/>
      <c r="Q23" s="221">
        <f t="shared" si="44"/>
        <v>0</v>
      </c>
      <c r="R23" s="221">
        <f t="shared" si="45"/>
        <v>0</v>
      </c>
      <c r="S23" s="221">
        <f t="shared" si="7"/>
        <v>0</v>
      </c>
      <c r="T23" s="79">
        <f t="shared" si="8"/>
        <v>0</v>
      </c>
      <c r="U23" s="79">
        <f t="shared" si="39"/>
        <v>0</v>
      </c>
      <c r="V23" s="80">
        <f t="shared" ca="1" si="9"/>
        <v>0</v>
      </c>
      <c r="W23" s="249" t="str">
        <f t="shared" ca="1" si="10"/>
        <v/>
      </c>
      <c r="X23" s="293"/>
      <c r="Y23" s="221">
        <f t="shared" si="11"/>
        <v>0</v>
      </c>
      <c r="Z23" s="299">
        <f ca="1">IF(B23="","",INDIRECT(ADDRESS(MATCH(B23,Soll_AZ,1)+MATCH("Arbeitszeit 1 ab",Voreinstellung_Übersicht!B:B,0)-1,WEEKDAY(B23,2)+4,,,"Voreinstellung_Übersicht"),TRUE))</f>
        <v>0</v>
      </c>
      <c r="AA23" s="300">
        <f t="shared" ca="1" si="40"/>
        <v>0</v>
      </c>
      <c r="AB23" s="219">
        <f t="shared" si="12"/>
        <v>0</v>
      </c>
      <c r="AC23" s="219">
        <f t="shared" si="13"/>
        <v>0</v>
      </c>
      <c r="AD23" s="219">
        <f t="shared" si="14"/>
        <v>0</v>
      </c>
      <c r="AE23" s="219">
        <f t="shared" si="15"/>
        <v>0</v>
      </c>
      <c r="AF23" s="219">
        <f t="shared" si="16"/>
        <v>0</v>
      </c>
      <c r="AG23" s="219">
        <f t="shared" si="17"/>
        <v>0</v>
      </c>
      <c r="AH23" s="219">
        <f t="shared" si="18"/>
        <v>0</v>
      </c>
      <c r="AI23" s="219">
        <f t="shared" si="19"/>
        <v>0</v>
      </c>
      <c r="AJ23" s="219">
        <f t="shared" si="20"/>
        <v>0</v>
      </c>
      <c r="AK23" s="219">
        <f t="shared" si="21"/>
        <v>0</v>
      </c>
      <c r="AL23" s="219">
        <f t="shared" si="22"/>
        <v>0</v>
      </c>
      <c r="AM23" s="219">
        <f t="shared" si="23"/>
        <v>0</v>
      </c>
      <c r="AN23" s="301">
        <f t="shared" si="24"/>
        <v>0</v>
      </c>
      <c r="AO23" s="301">
        <f t="shared" si="25"/>
        <v>0</v>
      </c>
      <c r="AP23" s="301">
        <f t="shared" si="26"/>
        <v>0</v>
      </c>
      <c r="AQ23" s="301">
        <f t="shared" si="27"/>
        <v>0</v>
      </c>
      <c r="AR23" s="301">
        <f t="shared" si="28"/>
        <v>0</v>
      </c>
      <c r="AS23" s="301">
        <f t="shared" si="29"/>
        <v>0</v>
      </c>
      <c r="AT23" s="302">
        <f t="shared" si="30"/>
        <v>0</v>
      </c>
      <c r="AU23" s="302">
        <f t="shared" si="31"/>
        <v>0</v>
      </c>
      <c r="AV23" s="81">
        <f t="shared" si="32"/>
        <v>0</v>
      </c>
      <c r="AW23" s="82">
        <f t="shared" si="33"/>
        <v>0</v>
      </c>
      <c r="AX23" s="81">
        <f t="shared" si="34"/>
        <v>0</v>
      </c>
      <c r="AY23" s="83">
        <f t="shared" si="35"/>
        <v>0</v>
      </c>
      <c r="AZ23" s="83">
        <f t="shared" si="36"/>
        <v>0</v>
      </c>
      <c r="BA23" s="82">
        <f>IF(OR(B23=Feiertage!$A$16,B23=Feiertage!$A$19),U23*Zuschläge_24_31/100,IF(AZ23&gt;0,AZ23*Feiertag_mit/100,IF(AX23&gt;0,AX23*Zuschläge_Sa/100,IF(AY23&gt;0,AY23*Zuschlag_So/100,0))))</f>
        <v>0</v>
      </c>
      <c r="BB23" s="82">
        <f>IF(AND(B23&lt;&gt;0,G23=Voreinstellung_Übersicht!$D$41),IF(EG=1,W23*Über_klein/100,IF(EG=2,W23*Über_groß/100,"Fehler")),0)</f>
        <v>0</v>
      </c>
      <c r="BC23" s="299">
        <f t="shared" ca="1" si="41"/>
        <v>0</v>
      </c>
      <c r="BD23" s="219">
        <f t="shared" ca="1" si="37"/>
        <v>1</v>
      </c>
      <c r="BE23" s="303">
        <f ca="1">IF(B23="","",INDIRECT(ADDRESS(MATCH(B23,Soll_AZ,1)+MATCH("Arbeitszeit 1 ab",Voreinstellung_Übersicht!B:B,0)-1,4,,,"Voreinstellung_Übersicht"),TRUE))</f>
        <v>1.6666666666666665</v>
      </c>
      <c r="BF23" s="1">
        <f t="shared" si="42"/>
        <v>0</v>
      </c>
    </row>
    <row r="24" spans="1:58" s="1" customFormat="1" ht="15" x14ac:dyDescent="0.3">
      <c r="A24" s="218">
        <f t="shared" si="0"/>
        <v>47</v>
      </c>
      <c r="B24" s="47">
        <f t="shared" si="38"/>
        <v>42324</v>
      </c>
      <c r="C24" s="219">
        <f t="shared" si="1"/>
        <v>0</v>
      </c>
      <c r="D24" s="220" t="str">
        <f t="shared" si="2"/>
        <v/>
      </c>
      <c r="E24" s="298" t="str">
        <f t="shared" si="3"/>
        <v/>
      </c>
      <c r="F24" s="87">
        <f t="shared" si="4"/>
        <v>42324</v>
      </c>
      <c r="G24" s="147"/>
      <c r="H24" s="74"/>
      <c r="I24" s="75"/>
      <c r="J24" s="221">
        <f t="shared" si="5"/>
        <v>0</v>
      </c>
      <c r="K24" s="76"/>
      <c r="L24" s="221">
        <f t="shared" si="43"/>
        <v>0</v>
      </c>
      <c r="M24" s="74"/>
      <c r="N24" s="75"/>
      <c r="O24" s="221">
        <f t="shared" si="6"/>
        <v>0</v>
      </c>
      <c r="P24" s="76"/>
      <c r="Q24" s="221">
        <f t="shared" si="44"/>
        <v>0</v>
      </c>
      <c r="R24" s="221">
        <f t="shared" si="45"/>
        <v>0</v>
      </c>
      <c r="S24" s="221">
        <f t="shared" si="7"/>
        <v>0</v>
      </c>
      <c r="T24" s="79">
        <f t="shared" si="8"/>
        <v>0</v>
      </c>
      <c r="U24" s="79">
        <f t="shared" si="39"/>
        <v>0</v>
      </c>
      <c r="V24" s="80">
        <f t="shared" ca="1" si="9"/>
        <v>0</v>
      </c>
      <c r="W24" s="249" t="str">
        <f t="shared" ca="1" si="10"/>
        <v/>
      </c>
      <c r="X24" s="293"/>
      <c r="Y24" s="221">
        <f t="shared" si="11"/>
        <v>0</v>
      </c>
      <c r="Z24" s="299">
        <f ca="1">IF(B24="","",INDIRECT(ADDRESS(MATCH(B24,Soll_AZ,1)+MATCH("Arbeitszeit 1 ab",Voreinstellung_Übersicht!B:B,0)-1,WEEKDAY(B24,2)+4,,,"Voreinstellung_Übersicht"),TRUE))</f>
        <v>0</v>
      </c>
      <c r="AA24" s="300">
        <f t="shared" ca="1" si="40"/>
        <v>0</v>
      </c>
      <c r="AB24" s="219">
        <f t="shared" si="12"/>
        <v>0</v>
      </c>
      <c r="AC24" s="219">
        <f t="shared" si="13"/>
        <v>0</v>
      </c>
      <c r="AD24" s="219">
        <f t="shared" si="14"/>
        <v>0</v>
      </c>
      <c r="AE24" s="219">
        <f t="shared" si="15"/>
        <v>0</v>
      </c>
      <c r="AF24" s="219">
        <f t="shared" si="16"/>
        <v>0</v>
      </c>
      <c r="AG24" s="219">
        <f t="shared" si="17"/>
        <v>0</v>
      </c>
      <c r="AH24" s="219">
        <f t="shared" si="18"/>
        <v>0</v>
      </c>
      <c r="AI24" s="219">
        <f t="shared" si="19"/>
        <v>0</v>
      </c>
      <c r="AJ24" s="219">
        <f t="shared" si="20"/>
        <v>0</v>
      </c>
      <c r="AK24" s="219">
        <f t="shared" si="21"/>
        <v>0</v>
      </c>
      <c r="AL24" s="219">
        <f t="shared" si="22"/>
        <v>0</v>
      </c>
      <c r="AM24" s="219">
        <f t="shared" si="23"/>
        <v>0</v>
      </c>
      <c r="AN24" s="301">
        <f t="shared" si="24"/>
        <v>0</v>
      </c>
      <c r="AO24" s="301">
        <f t="shared" si="25"/>
        <v>0</v>
      </c>
      <c r="AP24" s="301">
        <f t="shared" si="26"/>
        <v>0</v>
      </c>
      <c r="AQ24" s="301">
        <f t="shared" si="27"/>
        <v>0</v>
      </c>
      <c r="AR24" s="301">
        <f t="shared" si="28"/>
        <v>0</v>
      </c>
      <c r="AS24" s="301">
        <f t="shared" si="29"/>
        <v>0</v>
      </c>
      <c r="AT24" s="302">
        <f t="shared" si="30"/>
        <v>0</v>
      </c>
      <c r="AU24" s="302">
        <f t="shared" si="31"/>
        <v>0</v>
      </c>
      <c r="AV24" s="81">
        <f t="shared" si="32"/>
        <v>0</v>
      </c>
      <c r="AW24" s="82">
        <f t="shared" si="33"/>
        <v>0</v>
      </c>
      <c r="AX24" s="81">
        <f t="shared" si="34"/>
        <v>0</v>
      </c>
      <c r="AY24" s="83">
        <f t="shared" si="35"/>
        <v>0</v>
      </c>
      <c r="AZ24" s="83">
        <f t="shared" si="36"/>
        <v>0</v>
      </c>
      <c r="BA24" s="82">
        <f>IF(OR(B24=Feiertage!$A$16,B24=Feiertage!$A$19),U24*Zuschläge_24_31/100,IF(AZ24&gt;0,AZ24*Feiertag_mit/100,IF(AX24&gt;0,AX24*Zuschläge_Sa/100,IF(AY24&gt;0,AY24*Zuschlag_So/100,0))))</f>
        <v>0</v>
      </c>
      <c r="BB24" s="82">
        <f>IF(AND(B24&lt;&gt;0,G24=Voreinstellung_Übersicht!$D$41),IF(EG=1,W24*Über_klein/100,IF(EG=2,W24*Über_groß/100,"Fehler")),0)</f>
        <v>0</v>
      </c>
      <c r="BC24" s="299">
        <f t="shared" ca="1" si="41"/>
        <v>0</v>
      </c>
      <c r="BD24" s="219">
        <f t="shared" ca="1" si="37"/>
        <v>1</v>
      </c>
      <c r="BE24" s="303">
        <f ca="1">IF(B24="","",INDIRECT(ADDRESS(MATCH(B24,Soll_AZ,1)+MATCH("Arbeitszeit 1 ab",Voreinstellung_Übersicht!B:B,0)-1,4,,,"Voreinstellung_Übersicht"),TRUE))</f>
        <v>1.6666666666666665</v>
      </c>
      <c r="BF24" s="1">
        <f t="shared" si="42"/>
        <v>0</v>
      </c>
    </row>
    <row r="25" spans="1:58" s="1" customFormat="1" ht="15" x14ac:dyDescent="0.3">
      <c r="A25" s="218">
        <f t="shared" si="0"/>
        <v>47</v>
      </c>
      <c r="B25" s="47">
        <f t="shared" si="38"/>
        <v>42325</v>
      </c>
      <c r="C25" s="219">
        <f t="shared" si="1"/>
        <v>1</v>
      </c>
      <c r="D25" s="220" t="str">
        <f t="shared" si="2"/>
        <v/>
      </c>
      <c r="E25" s="298" t="str">
        <f t="shared" si="3"/>
        <v/>
      </c>
      <c r="F25" s="87">
        <f t="shared" si="4"/>
        <v>42325</v>
      </c>
      <c r="G25" s="147"/>
      <c r="H25" s="74"/>
      <c r="I25" s="75"/>
      <c r="J25" s="221">
        <f t="shared" si="5"/>
        <v>0</v>
      </c>
      <c r="K25" s="76"/>
      <c r="L25" s="221">
        <f t="shared" si="43"/>
        <v>0</v>
      </c>
      <c r="M25" s="74"/>
      <c r="N25" s="75"/>
      <c r="O25" s="221">
        <f t="shared" si="6"/>
        <v>0</v>
      </c>
      <c r="P25" s="76"/>
      <c r="Q25" s="221">
        <f t="shared" si="44"/>
        <v>0</v>
      </c>
      <c r="R25" s="221">
        <f t="shared" si="45"/>
        <v>0</v>
      </c>
      <c r="S25" s="221">
        <f t="shared" si="7"/>
        <v>0</v>
      </c>
      <c r="T25" s="79">
        <f t="shared" si="8"/>
        <v>0</v>
      </c>
      <c r="U25" s="79">
        <f t="shared" si="39"/>
        <v>0</v>
      </c>
      <c r="V25" s="80">
        <f t="shared" ca="1" si="9"/>
        <v>0.33333333329999998</v>
      </c>
      <c r="W25" s="249" t="str">
        <f t="shared" ca="1" si="10"/>
        <v/>
      </c>
      <c r="X25" s="293"/>
      <c r="Y25" s="221">
        <f t="shared" si="11"/>
        <v>0</v>
      </c>
      <c r="Z25" s="299">
        <f ca="1">IF(B25="","",INDIRECT(ADDRESS(MATCH(B25,Soll_AZ,1)+MATCH("Arbeitszeit 1 ab",Voreinstellung_Übersicht!B:B,0)-1,WEEKDAY(B25,2)+4,,,"Voreinstellung_Übersicht"),TRUE))</f>
        <v>0.33333333333333331</v>
      </c>
      <c r="AA25" s="300">
        <f t="shared" ca="1" si="40"/>
        <v>0</v>
      </c>
      <c r="AB25" s="219">
        <f t="shared" si="12"/>
        <v>0</v>
      </c>
      <c r="AC25" s="219">
        <f t="shared" si="13"/>
        <v>0</v>
      </c>
      <c r="AD25" s="219">
        <f t="shared" si="14"/>
        <v>0</v>
      </c>
      <c r="AE25" s="219">
        <f t="shared" si="15"/>
        <v>0</v>
      </c>
      <c r="AF25" s="219">
        <f t="shared" si="16"/>
        <v>0</v>
      </c>
      <c r="AG25" s="219">
        <f t="shared" si="17"/>
        <v>0</v>
      </c>
      <c r="AH25" s="219">
        <f t="shared" si="18"/>
        <v>0</v>
      </c>
      <c r="AI25" s="219">
        <f t="shared" si="19"/>
        <v>0</v>
      </c>
      <c r="AJ25" s="219">
        <f t="shared" si="20"/>
        <v>0</v>
      </c>
      <c r="AK25" s="219">
        <f t="shared" si="21"/>
        <v>0</v>
      </c>
      <c r="AL25" s="219">
        <f t="shared" si="22"/>
        <v>0</v>
      </c>
      <c r="AM25" s="219">
        <f t="shared" si="23"/>
        <v>0</v>
      </c>
      <c r="AN25" s="301">
        <f t="shared" si="24"/>
        <v>0</v>
      </c>
      <c r="AO25" s="301">
        <f t="shared" si="25"/>
        <v>0</v>
      </c>
      <c r="AP25" s="301">
        <f t="shared" si="26"/>
        <v>0</v>
      </c>
      <c r="AQ25" s="301">
        <f t="shared" si="27"/>
        <v>0</v>
      </c>
      <c r="AR25" s="301">
        <f t="shared" si="28"/>
        <v>0</v>
      </c>
      <c r="AS25" s="301">
        <f t="shared" si="29"/>
        <v>0</v>
      </c>
      <c r="AT25" s="302">
        <f t="shared" si="30"/>
        <v>0</v>
      </c>
      <c r="AU25" s="302">
        <f t="shared" si="31"/>
        <v>0</v>
      </c>
      <c r="AV25" s="81">
        <f t="shared" si="32"/>
        <v>0</v>
      </c>
      <c r="AW25" s="82">
        <f t="shared" si="33"/>
        <v>0</v>
      </c>
      <c r="AX25" s="81">
        <f t="shared" si="34"/>
        <v>0</v>
      </c>
      <c r="AY25" s="83">
        <f t="shared" si="35"/>
        <v>0</v>
      </c>
      <c r="AZ25" s="83">
        <f t="shared" si="36"/>
        <v>0</v>
      </c>
      <c r="BA25" s="82">
        <f>IF(OR(B25=Feiertage!$A$16,B25=Feiertage!$A$19),U25*Zuschläge_24_31/100,IF(AZ25&gt;0,AZ25*Feiertag_mit/100,IF(AX25&gt;0,AX25*Zuschläge_Sa/100,IF(AY25&gt;0,AY25*Zuschlag_So/100,0))))</f>
        <v>0</v>
      </c>
      <c r="BB25" s="82">
        <f>IF(AND(B25&lt;&gt;0,G25=Voreinstellung_Übersicht!$D$41),IF(EG=1,W25*Über_klein/100,IF(EG=2,W25*Über_groß/100,"Fehler")),0)</f>
        <v>0</v>
      </c>
      <c r="BC25" s="299">
        <f t="shared" ca="1" si="41"/>
        <v>0</v>
      </c>
      <c r="BD25" s="219">
        <f t="shared" ca="1" si="37"/>
        <v>1</v>
      </c>
      <c r="BE25" s="303">
        <f ca="1">IF(B25="","",INDIRECT(ADDRESS(MATCH(B25,Soll_AZ,1)+MATCH("Arbeitszeit 1 ab",Voreinstellung_Übersicht!B:B,0)-1,4,,,"Voreinstellung_Übersicht"),TRUE))</f>
        <v>1.6666666666666665</v>
      </c>
      <c r="BF25" s="1">
        <f t="shared" si="42"/>
        <v>0</v>
      </c>
    </row>
    <row r="26" spans="1:58" s="1" customFormat="1" ht="15" x14ac:dyDescent="0.3">
      <c r="A26" s="218">
        <f t="shared" si="0"/>
        <v>47</v>
      </c>
      <c r="B26" s="47">
        <f t="shared" si="38"/>
        <v>42326</v>
      </c>
      <c r="C26" s="219">
        <f t="shared" si="1"/>
        <v>1</v>
      </c>
      <c r="D26" s="220" t="str">
        <f t="shared" si="2"/>
        <v/>
      </c>
      <c r="E26" s="298" t="str">
        <f t="shared" si="3"/>
        <v/>
      </c>
      <c r="F26" s="87">
        <f t="shared" si="4"/>
        <v>42326</v>
      </c>
      <c r="G26" s="147"/>
      <c r="H26" s="74"/>
      <c r="I26" s="75"/>
      <c r="J26" s="221">
        <f t="shared" si="5"/>
        <v>0</v>
      </c>
      <c r="K26" s="76"/>
      <c r="L26" s="221">
        <f t="shared" si="43"/>
        <v>0</v>
      </c>
      <c r="M26" s="74"/>
      <c r="N26" s="75"/>
      <c r="O26" s="221">
        <f t="shared" si="6"/>
        <v>0</v>
      </c>
      <c r="P26" s="76"/>
      <c r="Q26" s="221">
        <f t="shared" si="44"/>
        <v>0</v>
      </c>
      <c r="R26" s="221">
        <f t="shared" si="45"/>
        <v>0</v>
      </c>
      <c r="S26" s="221">
        <f t="shared" si="7"/>
        <v>0</v>
      </c>
      <c r="T26" s="79">
        <f t="shared" si="8"/>
        <v>0</v>
      </c>
      <c r="U26" s="79">
        <f t="shared" si="39"/>
        <v>0</v>
      </c>
      <c r="V26" s="80">
        <f t="shared" ca="1" si="9"/>
        <v>0.33333333329999998</v>
      </c>
      <c r="W26" s="249" t="str">
        <f t="shared" ca="1" si="10"/>
        <v/>
      </c>
      <c r="X26" s="293"/>
      <c r="Y26" s="221">
        <f t="shared" si="11"/>
        <v>0</v>
      </c>
      <c r="Z26" s="299">
        <f ca="1">IF(B26="","",INDIRECT(ADDRESS(MATCH(B26,Soll_AZ,1)+MATCH("Arbeitszeit 1 ab",Voreinstellung_Übersicht!B:B,0)-1,WEEKDAY(B26,2)+4,,,"Voreinstellung_Übersicht"),TRUE))</f>
        <v>0.33333333333333331</v>
      </c>
      <c r="AA26" s="300">
        <f t="shared" ca="1" si="40"/>
        <v>0</v>
      </c>
      <c r="AB26" s="219">
        <f t="shared" si="12"/>
        <v>0</v>
      </c>
      <c r="AC26" s="219">
        <f t="shared" si="13"/>
        <v>0</v>
      </c>
      <c r="AD26" s="219">
        <f t="shared" si="14"/>
        <v>0</v>
      </c>
      <c r="AE26" s="219">
        <f t="shared" si="15"/>
        <v>0</v>
      </c>
      <c r="AF26" s="219">
        <f t="shared" si="16"/>
        <v>0</v>
      </c>
      <c r="AG26" s="219">
        <f t="shared" si="17"/>
        <v>0</v>
      </c>
      <c r="AH26" s="219">
        <f t="shared" si="18"/>
        <v>0</v>
      </c>
      <c r="AI26" s="219">
        <f t="shared" si="19"/>
        <v>0</v>
      </c>
      <c r="AJ26" s="219">
        <f t="shared" si="20"/>
        <v>0</v>
      </c>
      <c r="AK26" s="219">
        <f t="shared" si="21"/>
        <v>0</v>
      </c>
      <c r="AL26" s="219">
        <f t="shared" si="22"/>
        <v>0</v>
      </c>
      <c r="AM26" s="219">
        <f t="shared" si="23"/>
        <v>0</v>
      </c>
      <c r="AN26" s="301">
        <f t="shared" si="24"/>
        <v>0</v>
      </c>
      <c r="AO26" s="301">
        <f t="shared" si="25"/>
        <v>0</v>
      </c>
      <c r="AP26" s="301">
        <f t="shared" si="26"/>
        <v>0</v>
      </c>
      <c r="AQ26" s="301">
        <f t="shared" si="27"/>
        <v>0</v>
      </c>
      <c r="AR26" s="301">
        <f t="shared" si="28"/>
        <v>0</v>
      </c>
      <c r="AS26" s="301">
        <f t="shared" si="29"/>
        <v>0</v>
      </c>
      <c r="AT26" s="302">
        <f t="shared" si="30"/>
        <v>0</v>
      </c>
      <c r="AU26" s="302">
        <f t="shared" si="31"/>
        <v>0</v>
      </c>
      <c r="AV26" s="81">
        <f t="shared" si="32"/>
        <v>0</v>
      </c>
      <c r="AW26" s="82">
        <f t="shared" si="33"/>
        <v>0</v>
      </c>
      <c r="AX26" s="81">
        <f t="shared" si="34"/>
        <v>0</v>
      </c>
      <c r="AY26" s="83">
        <f t="shared" si="35"/>
        <v>0</v>
      </c>
      <c r="AZ26" s="83">
        <f t="shared" si="36"/>
        <v>0</v>
      </c>
      <c r="BA26" s="82">
        <f>IF(OR(B26=Feiertage!$A$16,B26=Feiertage!$A$19),U26*Zuschläge_24_31/100,IF(AZ26&gt;0,AZ26*Feiertag_mit/100,IF(AX26&gt;0,AX26*Zuschläge_Sa/100,IF(AY26&gt;0,AY26*Zuschlag_So/100,0))))</f>
        <v>0</v>
      </c>
      <c r="BB26" s="82">
        <f>IF(AND(B26&lt;&gt;0,G26=Voreinstellung_Übersicht!$D$41),IF(EG=1,W26*Über_klein/100,IF(EG=2,W26*Über_groß/100,"Fehler")),0)</f>
        <v>0</v>
      </c>
      <c r="BC26" s="299">
        <f t="shared" ca="1" si="41"/>
        <v>0</v>
      </c>
      <c r="BD26" s="219">
        <f t="shared" ca="1" si="37"/>
        <v>1</v>
      </c>
      <c r="BE26" s="303">
        <f ca="1">IF(B26="","",INDIRECT(ADDRESS(MATCH(B26,Soll_AZ,1)+MATCH("Arbeitszeit 1 ab",Voreinstellung_Übersicht!B:B,0)-1,4,,,"Voreinstellung_Übersicht"),TRUE))</f>
        <v>1.6666666666666665</v>
      </c>
      <c r="BF26" s="1">
        <f t="shared" si="42"/>
        <v>0</v>
      </c>
    </row>
    <row r="27" spans="1:58" s="1" customFormat="1" ht="15" x14ac:dyDescent="0.3">
      <c r="A27" s="218">
        <f t="shared" si="0"/>
        <v>47</v>
      </c>
      <c r="B27" s="47">
        <f t="shared" si="38"/>
        <v>42327</v>
      </c>
      <c r="C27" s="219">
        <f t="shared" si="1"/>
        <v>0</v>
      </c>
      <c r="D27" s="220" t="str">
        <f t="shared" si="2"/>
        <v>Buß- und Bettag</v>
      </c>
      <c r="E27" s="298" t="str">
        <f t="shared" si="3"/>
        <v>Buß- und Bettag</v>
      </c>
      <c r="F27" s="87">
        <f t="shared" si="4"/>
        <v>42327</v>
      </c>
      <c r="G27" s="147"/>
      <c r="H27" s="74"/>
      <c r="I27" s="75"/>
      <c r="J27" s="221">
        <f t="shared" si="5"/>
        <v>0</v>
      </c>
      <c r="K27" s="76"/>
      <c r="L27" s="221">
        <f t="shared" si="43"/>
        <v>0</v>
      </c>
      <c r="M27" s="74"/>
      <c r="N27" s="75"/>
      <c r="O27" s="221">
        <f t="shared" si="6"/>
        <v>0</v>
      </c>
      <c r="P27" s="76"/>
      <c r="Q27" s="221">
        <f t="shared" si="44"/>
        <v>0</v>
      </c>
      <c r="R27" s="221">
        <f t="shared" si="45"/>
        <v>0</v>
      </c>
      <c r="S27" s="221">
        <f t="shared" si="7"/>
        <v>0</v>
      </c>
      <c r="T27" s="79">
        <f t="shared" si="8"/>
        <v>0</v>
      </c>
      <c r="U27" s="79">
        <f t="shared" si="39"/>
        <v>0</v>
      </c>
      <c r="V27" s="80">
        <f t="shared" si="9"/>
        <v>0</v>
      </c>
      <c r="W27" s="249" t="str">
        <f t="shared" si="10"/>
        <v/>
      </c>
      <c r="X27" s="293"/>
      <c r="Y27" s="221">
        <f t="shared" si="11"/>
        <v>0</v>
      </c>
      <c r="Z27" s="299">
        <f ca="1">IF(B27="","",INDIRECT(ADDRESS(MATCH(B27,Soll_AZ,1)+MATCH("Arbeitszeit 1 ab",Voreinstellung_Übersicht!B:B,0)-1,WEEKDAY(B27,2)+4,,,"Voreinstellung_Übersicht"),TRUE))</f>
        <v>0.33333333333333331</v>
      </c>
      <c r="AA27" s="300">
        <f t="shared" ca="1" si="40"/>
        <v>0</v>
      </c>
      <c r="AB27" s="219">
        <f t="shared" si="12"/>
        <v>0</v>
      </c>
      <c r="AC27" s="219">
        <f t="shared" si="13"/>
        <v>0</v>
      </c>
      <c r="AD27" s="219">
        <f t="shared" si="14"/>
        <v>0</v>
      </c>
      <c r="AE27" s="219">
        <f t="shared" si="15"/>
        <v>0</v>
      </c>
      <c r="AF27" s="219">
        <f t="shared" si="16"/>
        <v>0</v>
      </c>
      <c r="AG27" s="219">
        <f t="shared" si="17"/>
        <v>0</v>
      </c>
      <c r="AH27" s="219">
        <f t="shared" si="18"/>
        <v>0</v>
      </c>
      <c r="AI27" s="219">
        <f t="shared" si="19"/>
        <v>0</v>
      </c>
      <c r="AJ27" s="219">
        <f t="shared" si="20"/>
        <v>0</v>
      </c>
      <c r="AK27" s="219">
        <f t="shared" si="21"/>
        <v>0</v>
      </c>
      <c r="AL27" s="219">
        <f t="shared" si="22"/>
        <v>0</v>
      </c>
      <c r="AM27" s="219">
        <f t="shared" si="23"/>
        <v>0</v>
      </c>
      <c r="AN27" s="301">
        <f t="shared" si="24"/>
        <v>0</v>
      </c>
      <c r="AO27" s="301">
        <f t="shared" si="25"/>
        <v>0</v>
      </c>
      <c r="AP27" s="301">
        <f t="shared" si="26"/>
        <v>0</v>
      </c>
      <c r="AQ27" s="301">
        <f t="shared" si="27"/>
        <v>0</v>
      </c>
      <c r="AR27" s="301">
        <f t="shared" si="28"/>
        <v>0</v>
      </c>
      <c r="AS27" s="301">
        <f t="shared" si="29"/>
        <v>0</v>
      </c>
      <c r="AT27" s="302">
        <f t="shared" si="30"/>
        <v>0</v>
      </c>
      <c r="AU27" s="302">
        <f t="shared" si="31"/>
        <v>0</v>
      </c>
      <c r="AV27" s="81">
        <f t="shared" si="32"/>
        <v>0</v>
      </c>
      <c r="AW27" s="82">
        <f t="shared" si="33"/>
        <v>0</v>
      </c>
      <c r="AX27" s="81">
        <f t="shared" si="34"/>
        <v>0</v>
      </c>
      <c r="AY27" s="83">
        <f t="shared" si="35"/>
        <v>0</v>
      </c>
      <c r="AZ27" s="83">
        <f t="shared" si="36"/>
        <v>0</v>
      </c>
      <c r="BA27" s="82">
        <f>IF(OR(B27=Feiertage!$A$16,B27=Feiertage!$A$19),U27*Zuschläge_24_31/100,IF(AZ27&gt;0,AZ27*Feiertag_mit/100,IF(AX27&gt;0,AX27*Zuschläge_Sa/100,IF(AY27&gt;0,AY27*Zuschlag_So/100,0))))</f>
        <v>0</v>
      </c>
      <c r="BB27" s="82">
        <f>IF(AND(B27&lt;&gt;0,G27=Voreinstellung_Übersicht!$D$41),IF(EG=1,W27*Über_klein/100,IF(EG=2,W27*Über_groß/100,"Fehler")),0)</f>
        <v>0</v>
      </c>
      <c r="BC27" s="299">
        <f t="shared" ca="1" si="41"/>
        <v>0</v>
      </c>
      <c r="BD27" s="219">
        <f t="shared" ca="1" si="37"/>
        <v>1</v>
      </c>
      <c r="BE27" s="303">
        <f ca="1">IF(B27="","",INDIRECT(ADDRESS(MATCH(B27,Soll_AZ,1)+MATCH("Arbeitszeit 1 ab",Voreinstellung_Übersicht!B:B,0)-1,4,,,"Voreinstellung_Übersicht"),TRUE))</f>
        <v>1.6666666666666665</v>
      </c>
      <c r="BF27" s="1">
        <f t="shared" si="42"/>
        <v>0</v>
      </c>
    </row>
    <row r="28" spans="1:58" s="1" customFormat="1" ht="15" x14ac:dyDescent="0.3">
      <c r="A28" s="218">
        <f t="shared" si="0"/>
        <v>47</v>
      </c>
      <c r="B28" s="47">
        <f t="shared" si="38"/>
        <v>42328</v>
      </c>
      <c r="C28" s="219">
        <f t="shared" si="1"/>
        <v>1</v>
      </c>
      <c r="D28" s="220" t="str">
        <f t="shared" si="2"/>
        <v/>
      </c>
      <c r="E28" s="298" t="str">
        <f t="shared" si="3"/>
        <v/>
      </c>
      <c r="F28" s="87">
        <f t="shared" si="4"/>
        <v>42328</v>
      </c>
      <c r="G28" s="147"/>
      <c r="H28" s="74"/>
      <c r="I28" s="75"/>
      <c r="J28" s="221">
        <f t="shared" si="5"/>
        <v>0</v>
      </c>
      <c r="K28" s="76"/>
      <c r="L28" s="221">
        <f t="shared" si="43"/>
        <v>0</v>
      </c>
      <c r="M28" s="74"/>
      <c r="N28" s="75"/>
      <c r="O28" s="221">
        <f t="shared" si="6"/>
        <v>0</v>
      </c>
      <c r="P28" s="76"/>
      <c r="Q28" s="221">
        <f t="shared" si="44"/>
        <v>0</v>
      </c>
      <c r="R28" s="221">
        <f t="shared" si="45"/>
        <v>0</v>
      </c>
      <c r="S28" s="221">
        <f t="shared" si="7"/>
        <v>0</v>
      </c>
      <c r="T28" s="79">
        <f t="shared" si="8"/>
        <v>0</v>
      </c>
      <c r="U28" s="79">
        <f t="shared" si="39"/>
        <v>0</v>
      </c>
      <c r="V28" s="80">
        <f t="shared" ca="1" si="9"/>
        <v>0.33333333329999998</v>
      </c>
      <c r="W28" s="249" t="str">
        <f t="shared" ca="1" si="10"/>
        <v/>
      </c>
      <c r="X28" s="293"/>
      <c r="Y28" s="221">
        <f t="shared" si="11"/>
        <v>0</v>
      </c>
      <c r="Z28" s="299">
        <f ca="1">IF(B28="","",INDIRECT(ADDRESS(MATCH(B28,Soll_AZ,1)+MATCH("Arbeitszeit 1 ab",Voreinstellung_Übersicht!B:B,0)-1,WEEKDAY(B28,2)+4,,,"Voreinstellung_Übersicht"),TRUE))</f>
        <v>0.33333333333333331</v>
      </c>
      <c r="AA28" s="300">
        <f t="shared" ca="1" si="40"/>
        <v>0</v>
      </c>
      <c r="AB28" s="219">
        <f t="shared" si="12"/>
        <v>0</v>
      </c>
      <c r="AC28" s="219">
        <f t="shared" si="13"/>
        <v>0</v>
      </c>
      <c r="AD28" s="219">
        <f t="shared" si="14"/>
        <v>0</v>
      </c>
      <c r="AE28" s="219">
        <f t="shared" si="15"/>
        <v>0</v>
      </c>
      <c r="AF28" s="219">
        <f t="shared" si="16"/>
        <v>0</v>
      </c>
      <c r="AG28" s="219">
        <f t="shared" si="17"/>
        <v>0</v>
      </c>
      <c r="AH28" s="219">
        <f t="shared" si="18"/>
        <v>0</v>
      </c>
      <c r="AI28" s="219">
        <f t="shared" si="19"/>
        <v>0</v>
      </c>
      <c r="AJ28" s="219">
        <f t="shared" si="20"/>
        <v>0</v>
      </c>
      <c r="AK28" s="219">
        <f t="shared" si="21"/>
        <v>0</v>
      </c>
      <c r="AL28" s="219">
        <f t="shared" si="22"/>
        <v>0</v>
      </c>
      <c r="AM28" s="219">
        <f t="shared" si="23"/>
        <v>0</v>
      </c>
      <c r="AN28" s="301">
        <f t="shared" si="24"/>
        <v>0</v>
      </c>
      <c r="AO28" s="301">
        <f t="shared" si="25"/>
        <v>0</v>
      </c>
      <c r="AP28" s="301">
        <f t="shared" si="26"/>
        <v>0</v>
      </c>
      <c r="AQ28" s="301">
        <f t="shared" si="27"/>
        <v>0</v>
      </c>
      <c r="AR28" s="301">
        <f t="shared" si="28"/>
        <v>0</v>
      </c>
      <c r="AS28" s="301">
        <f t="shared" si="29"/>
        <v>0</v>
      </c>
      <c r="AT28" s="302">
        <f t="shared" si="30"/>
        <v>0</v>
      </c>
      <c r="AU28" s="302">
        <f t="shared" si="31"/>
        <v>0</v>
      </c>
      <c r="AV28" s="81">
        <f t="shared" si="32"/>
        <v>0</v>
      </c>
      <c r="AW28" s="82">
        <f t="shared" si="33"/>
        <v>0</v>
      </c>
      <c r="AX28" s="81">
        <f t="shared" si="34"/>
        <v>0</v>
      </c>
      <c r="AY28" s="83">
        <f t="shared" si="35"/>
        <v>0</v>
      </c>
      <c r="AZ28" s="83">
        <f t="shared" si="36"/>
        <v>0</v>
      </c>
      <c r="BA28" s="82">
        <f>IF(OR(B28=Feiertage!$A$16,B28=Feiertage!$A$19),U28*Zuschläge_24_31/100,IF(AZ28&gt;0,AZ28*Feiertag_mit/100,IF(AX28&gt;0,AX28*Zuschläge_Sa/100,IF(AY28&gt;0,AY28*Zuschlag_So/100,0))))</f>
        <v>0</v>
      </c>
      <c r="BB28" s="82">
        <f>IF(AND(B28&lt;&gt;0,G28=Voreinstellung_Übersicht!$D$41),IF(EG=1,W28*Über_klein/100,IF(EG=2,W28*Über_groß/100,"Fehler")),0)</f>
        <v>0</v>
      </c>
      <c r="BC28" s="299">
        <f t="shared" ca="1" si="41"/>
        <v>0</v>
      </c>
      <c r="BD28" s="219">
        <f t="shared" ca="1" si="37"/>
        <v>1</v>
      </c>
      <c r="BE28" s="303">
        <f ca="1">IF(B28="","",INDIRECT(ADDRESS(MATCH(B28,Soll_AZ,1)+MATCH("Arbeitszeit 1 ab",Voreinstellung_Übersicht!B:B,0)-1,4,,,"Voreinstellung_Übersicht"),TRUE))</f>
        <v>1.6666666666666665</v>
      </c>
      <c r="BF28" s="1">
        <f t="shared" si="42"/>
        <v>0</v>
      </c>
    </row>
    <row r="29" spans="1:58" s="1" customFormat="1" ht="15" x14ac:dyDescent="0.3">
      <c r="A29" s="218">
        <f t="shared" si="0"/>
        <v>47</v>
      </c>
      <c r="B29" s="47">
        <f t="shared" si="38"/>
        <v>42329</v>
      </c>
      <c r="C29" s="219">
        <f t="shared" si="1"/>
        <v>1</v>
      </c>
      <c r="D29" s="220" t="str">
        <f t="shared" si="2"/>
        <v/>
      </c>
      <c r="E29" s="298" t="str">
        <f t="shared" si="3"/>
        <v/>
      </c>
      <c r="F29" s="87">
        <f t="shared" si="4"/>
        <v>42329</v>
      </c>
      <c r="G29" s="147"/>
      <c r="H29" s="74"/>
      <c r="I29" s="75"/>
      <c r="J29" s="221">
        <f t="shared" si="5"/>
        <v>0</v>
      </c>
      <c r="K29" s="76"/>
      <c r="L29" s="221">
        <f t="shared" si="43"/>
        <v>0</v>
      </c>
      <c r="M29" s="74"/>
      <c r="N29" s="75"/>
      <c r="O29" s="221">
        <f t="shared" si="6"/>
        <v>0</v>
      </c>
      <c r="P29" s="76"/>
      <c r="Q29" s="221">
        <f t="shared" si="44"/>
        <v>0</v>
      </c>
      <c r="R29" s="221">
        <f t="shared" si="45"/>
        <v>0</v>
      </c>
      <c r="S29" s="221">
        <f t="shared" si="7"/>
        <v>0</v>
      </c>
      <c r="T29" s="79">
        <f t="shared" si="8"/>
        <v>0</v>
      </c>
      <c r="U29" s="79">
        <f t="shared" si="39"/>
        <v>0</v>
      </c>
      <c r="V29" s="80">
        <f t="shared" ca="1" si="9"/>
        <v>0.33333333329999998</v>
      </c>
      <c r="W29" s="249" t="str">
        <f t="shared" ca="1" si="10"/>
        <v/>
      </c>
      <c r="X29" s="293"/>
      <c r="Y29" s="221">
        <f t="shared" si="11"/>
        <v>0</v>
      </c>
      <c r="Z29" s="299">
        <f ca="1">IF(B29="","",INDIRECT(ADDRESS(MATCH(B29,Soll_AZ,1)+MATCH("Arbeitszeit 1 ab",Voreinstellung_Übersicht!B:B,0)-1,WEEKDAY(B29,2)+4,,,"Voreinstellung_Übersicht"),TRUE))</f>
        <v>0.33333333333333331</v>
      </c>
      <c r="AA29" s="300">
        <f t="shared" ca="1" si="40"/>
        <v>0</v>
      </c>
      <c r="AB29" s="219">
        <f t="shared" si="12"/>
        <v>0</v>
      </c>
      <c r="AC29" s="219">
        <f t="shared" si="13"/>
        <v>0</v>
      </c>
      <c r="AD29" s="219">
        <f t="shared" si="14"/>
        <v>0</v>
      </c>
      <c r="AE29" s="219">
        <f t="shared" si="15"/>
        <v>0</v>
      </c>
      <c r="AF29" s="219">
        <f t="shared" si="16"/>
        <v>0</v>
      </c>
      <c r="AG29" s="219">
        <f t="shared" si="17"/>
        <v>0</v>
      </c>
      <c r="AH29" s="219">
        <f t="shared" si="18"/>
        <v>0</v>
      </c>
      <c r="AI29" s="219">
        <f t="shared" si="19"/>
        <v>0</v>
      </c>
      <c r="AJ29" s="219">
        <f t="shared" si="20"/>
        <v>0</v>
      </c>
      <c r="AK29" s="219">
        <f t="shared" si="21"/>
        <v>0</v>
      </c>
      <c r="AL29" s="219">
        <f t="shared" si="22"/>
        <v>0</v>
      </c>
      <c r="AM29" s="219">
        <f t="shared" si="23"/>
        <v>0</v>
      </c>
      <c r="AN29" s="301">
        <f t="shared" si="24"/>
        <v>0</v>
      </c>
      <c r="AO29" s="301">
        <f t="shared" si="25"/>
        <v>0</v>
      </c>
      <c r="AP29" s="301">
        <f t="shared" si="26"/>
        <v>0</v>
      </c>
      <c r="AQ29" s="301">
        <f t="shared" si="27"/>
        <v>0</v>
      </c>
      <c r="AR29" s="301">
        <f t="shared" si="28"/>
        <v>0</v>
      </c>
      <c r="AS29" s="301">
        <f t="shared" si="29"/>
        <v>0</v>
      </c>
      <c r="AT29" s="302">
        <f t="shared" si="30"/>
        <v>0</v>
      </c>
      <c r="AU29" s="302">
        <f t="shared" si="31"/>
        <v>0</v>
      </c>
      <c r="AV29" s="81">
        <f t="shared" si="32"/>
        <v>0</v>
      </c>
      <c r="AW29" s="82">
        <f t="shared" si="33"/>
        <v>0</v>
      </c>
      <c r="AX29" s="81">
        <f t="shared" si="34"/>
        <v>0</v>
      </c>
      <c r="AY29" s="83">
        <f t="shared" si="35"/>
        <v>0</v>
      </c>
      <c r="AZ29" s="83">
        <f t="shared" si="36"/>
        <v>0</v>
      </c>
      <c r="BA29" s="82">
        <f>IF(OR(B29=Feiertage!$A$16,B29=Feiertage!$A$19),U29*Zuschläge_24_31/100,IF(AZ29&gt;0,AZ29*Feiertag_mit/100,IF(AX29&gt;0,AX29*Zuschläge_Sa/100,IF(AY29&gt;0,AY29*Zuschlag_So/100,0))))</f>
        <v>0</v>
      </c>
      <c r="BB29" s="82">
        <f>IF(AND(B29&lt;&gt;0,G29=Voreinstellung_Übersicht!$D$41),IF(EG=1,W29*Über_klein/100,IF(EG=2,W29*Über_groß/100,"Fehler")),0)</f>
        <v>0</v>
      </c>
      <c r="BC29" s="299">
        <f t="shared" ca="1" si="41"/>
        <v>0</v>
      </c>
      <c r="BD29" s="219">
        <f t="shared" ca="1" si="37"/>
        <v>1</v>
      </c>
      <c r="BE29" s="303">
        <f ca="1">IF(B29="","",INDIRECT(ADDRESS(MATCH(B29,Soll_AZ,1)+MATCH("Arbeitszeit 1 ab",Voreinstellung_Übersicht!B:B,0)-1,4,,,"Voreinstellung_Übersicht"),TRUE))</f>
        <v>1.6666666666666665</v>
      </c>
      <c r="BF29" s="1">
        <f t="shared" si="42"/>
        <v>0</v>
      </c>
    </row>
    <row r="30" spans="1:58" s="1" customFormat="1" ht="15" x14ac:dyDescent="0.3">
      <c r="A30" s="218">
        <f t="shared" si="0"/>
        <v>47</v>
      </c>
      <c r="B30" s="47">
        <f t="shared" si="38"/>
        <v>42330</v>
      </c>
      <c r="C30" s="219">
        <f t="shared" si="1"/>
        <v>0</v>
      </c>
      <c r="D30" s="220" t="str">
        <f t="shared" si="2"/>
        <v/>
      </c>
      <c r="E30" s="298" t="str">
        <f t="shared" si="3"/>
        <v/>
      </c>
      <c r="F30" s="87">
        <f t="shared" si="4"/>
        <v>42330</v>
      </c>
      <c r="G30" s="147"/>
      <c r="H30" s="74"/>
      <c r="I30" s="75"/>
      <c r="J30" s="221">
        <f t="shared" si="5"/>
        <v>0</v>
      </c>
      <c r="K30" s="76"/>
      <c r="L30" s="221">
        <f t="shared" si="43"/>
        <v>0</v>
      </c>
      <c r="M30" s="74"/>
      <c r="N30" s="75"/>
      <c r="O30" s="221">
        <f t="shared" si="6"/>
        <v>0</v>
      </c>
      <c r="P30" s="76"/>
      <c r="Q30" s="221">
        <f t="shared" si="44"/>
        <v>0</v>
      </c>
      <c r="R30" s="221">
        <f t="shared" si="45"/>
        <v>0</v>
      </c>
      <c r="S30" s="221">
        <f t="shared" si="7"/>
        <v>0</v>
      </c>
      <c r="T30" s="79">
        <f t="shared" si="8"/>
        <v>0</v>
      </c>
      <c r="U30" s="79">
        <f t="shared" si="39"/>
        <v>0</v>
      </c>
      <c r="V30" s="80">
        <f t="shared" ca="1" si="9"/>
        <v>0</v>
      </c>
      <c r="W30" s="249" t="str">
        <f t="shared" ca="1" si="10"/>
        <v/>
      </c>
      <c r="X30" s="293"/>
      <c r="Y30" s="221">
        <f t="shared" si="11"/>
        <v>0</v>
      </c>
      <c r="Z30" s="299">
        <f ca="1">IF(B30="","",INDIRECT(ADDRESS(MATCH(B30,Soll_AZ,1)+MATCH("Arbeitszeit 1 ab",Voreinstellung_Übersicht!B:B,0)-1,WEEKDAY(B30,2)+4,,,"Voreinstellung_Übersicht"),TRUE))</f>
        <v>0</v>
      </c>
      <c r="AA30" s="300">
        <f t="shared" ca="1" si="40"/>
        <v>0</v>
      </c>
      <c r="AB30" s="219">
        <f t="shared" si="12"/>
        <v>0</v>
      </c>
      <c r="AC30" s="219">
        <f t="shared" si="13"/>
        <v>0</v>
      </c>
      <c r="AD30" s="219">
        <f t="shared" si="14"/>
        <v>0</v>
      </c>
      <c r="AE30" s="219">
        <f t="shared" si="15"/>
        <v>0</v>
      </c>
      <c r="AF30" s="219">
        <f t="shared" si="16"/>
        <v>0</v>
      </c>
      <c r="AG30" s="219">
        <f t="shared" si="17"/>
        <v>0</v>
      </c>
      <c r="AH30" s="219">
        <f t="shared" si="18"/>
        <v>0</v>
      </c>
      <c r="AI30" s="219">
        <f t="shared" si="19"/>
        <v>0</v>
      </c>
      <c r="AJ30" s="219">
        <f t="shared" si="20"/>
        <v>0</v>
      </c>
      <c r="AK30" s="219">
        <f t="shared" si="21"/>
        <v>0</v>
      </c>
      <c r="AL30" s="219">
        <f t="shared" si="22"/>
        <v>0</v>
      </c>
      <c r="AM30" s="219">
        <f t="shared" si="23"/>
        <v>0</v>
      </c>
      <c r="AN30" s="301">
        <f t="shared" si="24"/>
        <v>0</v>
      </c>
      <c r="AO30" s="301">
        <f t="shared" si="25"/>
        <v>0</v>
      </c>
      <c r="AP30" s="301">
        <f t="shared" si="26"/>
        <v>0</v>
      </c>
      <c r="AQ30" s="301">
        <f t="shared" si="27"/>
        <v>0</v>
      </c>
      <c r="AR30" s="301">
        <f t="shared" si="28"/>
        <v>0</v>
      </c>
      <c r="AS30" s="301">
        <f t="shared" si="29"/>
        <v>0</v>
      </c>
      <c r="AT30" s="302">
        <f t="shared" si="30"/>
        <v>0</v>
      </c>
      <c r="AU30" s="302">
        <f t="shared" si="31"/>
        <v>0</v>
      </c>
      <c r="AV30" s="81">
        <f t="shared" si="32"/>
        <v>0</v>
      </c>
      <c r="AW30" s="82">
        <f t="shared" si="33"/>
        <v>0</v>
      </c>
      <c r="AX30" s="81">
        <f t="shared" si="34"/>
        <v>0</v>
      </c>
      <c r="AY30" s="83">
        <f t="shared" si="35"/>
        <v>0</v>
      </c>
      <c r="AZ30" s="83">
        <f t="shared" si="36"/>
        <v>0</v>
      </c>
      <c r="BA30" s="82">
        <f>IF(OR(B30=Feiertage!$A$16,B30=Feiertage!$A$19),U30*Zuschläge_24_31/100,IF(AZ30&gt;0,AZ30*Feiertag_mit/100,IF(AX30&gt;0,AX30*Zuschläge_Sa/100,IF(AY30&gt;0,AY30*Zuschlag_So/100,0))))</f>
        <v>0</v>
      </c>
      <c r="BB30" s="82">
        <f>IF(AND(B30&lt;&gt;0,G30=Voreinstellung_Übersicht!$D$41),IF(EG=1,W30*Über_klein/100,IF(EG=2,W30*Über_groß/100,"Fehler")),0)</f>
        <v>0</v>
      </c>
      <c r="BC30" s="299">
        <f t="shared" ca="1" si="41"/>
        <v>0</v>
      </c>
      <c r="BD30" s="219">
        <f t="shared" ca="1" si="37"/>
        <v>1</v>
      </c>
      <c r="BE30" s="303">
        <f ca="1">IF(B30="","",INDIRECT(ADDRESS(MATCH(B30,Soll_AZ,1)+MATCH("Arbeitszeit 1 ab",Voreinstellung_Übersicht!B:B,0)-1,4,,,"Voreinstellung_Übersicht"),TRUE))</f>
        <v>1.6666666666666665</v>
      </c>
      <c r="BF30" s="1">
        <f t="shared" si="42"/>
        <v>0</v>
      </c>
    </row>
    <row r="31" spans="1:58" s="1" customFormat="1" ht="15" x14ac:dyDescent="0.3">
      <c r="A31" s="218">
        <f t="shared" si="0"/>
        <v>48</v>
      </c>
      <c r="B31" s="47">
        <f t="shared" si="38"/>
        <v>42331</v>
      </c>
      <c r="C31" s="219">
        <f t="shared" si="1"/>
        <v>0</v>
      </c>
      <c r="D31" s="220" t="str">
        <f t="shared" si="2"/>
        <v/>
      </c>
      <c r="E31" s="298" t="str">
        <f t="shared" si="3"/>
        <v/>
      </c>
      <c r="F31" s="87">
        <f t="shared" si="4"/>
        <v>42331</v>
      </c>
      <c r="G31" s="147"/>
      <c r="H31" s="74"/>
      <c r="I31" s="75"/>
      <c r="J31" s="221">
        <f t="shared" si="5"/>
        <v>0</v>
      </c>
      <c r="K31" s="76"/>
      <c r="L31" s="221">
        <f t="shared" si="43"/>
        <v>0</v>
      </c>
      <c r="M31" s="74"/>
      <c r="N31" s="75"/>
      <c r="O31" s="221">
        <f t="shared" si="6"/>
        <v>0</v>
      </c>
      <c r="P31" s="76"/>
      <c r="Q31" s="221">
        <f t="shared" si="44"/>
        <v>0</v>
      </c>
      <c r="R31" s="221">
        <f t="shared" si="45"/>
        <v>0</v>
      </c>
      <c r="S31" s="221">
        <f t="shared" si="7"/>
        <v>0</v>
      </c>
      <c r="T31" s="79">
        <f t="shared" si="8"/>
        <v>0</v>
      </c>
      <c r="U31" s="79">
        <f t="shared" si="39"/>
        <v>0</v>
      </c>
      <c r="V31" s="80">
        <f t="shared" ca="1" si="9"/>
        <v>0</v>
      </c>
      <c r="W31" s="249" t="str">
        <f t="shared" ca="1" si="10"/>
        <v/>
      </c>
      <c r="X31" s="293"/>
      <c r="Y31" s="221">
        <f t="shared" si="11"/>
        <v>0</v>
      </c>
      <c r="Z31" s="299">
        <f ca="1">IF(B31="","",INDIRECT(ADDRESS(MATCH(B31,Soll_AZ,1)+MATCH("Arbeitszeit 1 ab",Voreinstellung_Übersicht!B:B,0)-1,WEEKDAY(B31,2)+4,,,"Voreinstellung_Übersicht"),TRUE))</f>
        <v>0</v>
      </c>
      <c r="AA31" s="300">
        <f t="shared" ca="1" si="40"/>
        <v>0</v>
      </c>
      <c r="AB31" s="219">
        <f t="shared" si="12"/>
        <v>0</v>
      </c>
      <c r="AC31" s="219">
        <f t="shared" si="13"/>
        <v>0</v>
      </c>
      <c r="AD31" s="219">
        <f t="shared" si="14"/>
        <v>0</v>
      </c>
      <c r="AE31" s="219">
        <f t="shared" si="15"/>
        <v>0</v>
      </c>
      <c r="AF31" s="219">
        <f t="shared" si="16"/>
        <v>0</v>
      </c>
      <c r="AG31" s="219">
        <f t="shared" si="17"/>
        <v>0</v>
      </c>
      <c r="AH31" s="219">
        <f t="shared" si="18"/>
        <v>0</v>
      </c>
      <c r="AI31" s="219">
        <f t="shared" si="19"/>
        <v>0</v>
      </c>
      <c r="AJ31" s="219">
        <f t="shared" si="20"/>
        <v>0</v>
      </c>
      <c r="AK31" s="219">
        <f t="shared" si="21"/>
        <v>0</v>
      </c>
      <c r="AL31" s="219">
        <f t="shared" si="22"/>
        <v>0</v>
      </c>
      <c r="AM31" s="219">
        <f t="shared" si="23"/>
        <v>0</v>
      </c>
      <c r="AN31" s="301">
        <f t="shared" si="24"/>
        <v>0</v>
      </c>
      <c r="AO31" s="301">
        <f t="shared" si="25"/>
        <v>0</v>
      </c>
      <c r="AP31" s="301">
        <f t="shared" si="26"/>
        <v>0</v>
      </c>
      <c r="AQ31" s="301">
        <f t="shared" si="27"/>
        <v>0</v>
      </c>
      <c r="AR31" s="301">
        <f t="shared" si="28"/>
        <v>0</v>
      </c>
      <c r="AS31" s="301">
        <f t="shared" si="29"/>
        <v>0</v>
      </c>
      <c r="AT31" s="302">
        <f t="shared" si="30"/>
        <v>0</v>
      </c>
      <c r="AU31" s="302">
        <f t="shared" si="31"/>
        <v>0</v>
      </c>
      <c r="AV31" s="81">
        <f t="shared" si="32"/>
        <v>0</v>
      </c>
      <c r="AW31" s="82">
        <f t="shared" si="33"/>
        <v>0</v>
      </c>
      <c r="AX31" s="81">
        <f t="shared" si="34"/>
        <v>0</v>
      </c>
      <c r="AY31" s="83">
        <f t="shared" si="35"/>
        <v>0</v>
      </c>
      <c r="AZ31" s="83">
        <f t="shared" si="36"/>
        <v>0</v>
      </c>
      <c r="BA31" s="82">
        <f>IF(OR(B31=Feiertage!$A$16,B31=Feiertage!$A$19),U31*Zuschläge_24_31/100,IF(AZ31&gt;0,AZ31*Feiertag_mit/100,IF(AX31&gt;0,AX31*Zuschläge_Sa/100,IF(AY31&gt;0,AY31*Zuschlag_So/100,0))))</f>
        <v>0</v>
      </c>
      <c r="BB31" s="82">
        <f>IF(AND(B31&lt;&gt;0,G31=Voreinstellung_Übersicht!$D$41),IF(EG=1,W31*Über_klein/100,IF(EG=2,W31*Über_groß/100,"Fehler")),0)</f>
        <v>0</v>
      </c>
      <c r="BC31" s="299">
        <f t="shared" ca="1" si="41"/>
        <v>0</v>
      </c>
      <c r="BD31" s="219">
        <f t="shared" ca="1" si="37"/>
        <v>1</v>
      </c>
      <c r="BE31" s="303">
        <f ca="1">IF(B31="","",INDIRECT(ADDRESS(MATCH(B31,Soll_AZ,1)+MATCH("Arbeitszeit 1 ab",Voreinstellung_Übersicht!B:B,0)-1,4,,,"Voreinstellung_Übersicht"),TRUE))</f>
        <v>1.6666666666666665</v>
      </c>
      <c r="BF31" s="1">
        <f t="shared" si="42"/>
        <v>0</v>
      </c>
    </row>
    <row r="32" spans="1:58" s="1" customFormat="1" ht="15" x14ac:dyDescent="0.3">
      <c r="A32" s="218">
        <f t="shared" si="0"/>
        <v>48</v>
      </c>
      <c r="B32" s="47">
        <f t="shared" si="38"/>
        <v>42332</v>
      </c>
      <c r="C32" s="219">
        <f t="shared" si="1"/>
        <v>1</v>
      </c>
      <c r="D32" s="220" t="str">
        <f t="shared" si="2"/>
        <v/>
      </c>
      <c r="E32" s="298" t="str">
        <f t="shared" si="3"/>
        <v/>
      </c>
      <c r="F32" s="87">
        <f t="shared" si="4"/>
        <v>42332</v>
      </c>
      <c r="G32" s="147"/>
      <c r="H32" s="74"/>
      <c r="I32" s="75"/>
      <c r="J32" s="221">
        <f t="shared" si="5"/>
        <v>0</v>
      </c>
      <c r="K32" s="76"/>
      <c r="L32" s="221">
        <f t="shared" si="43"/>
        <v>0</v>
      </c>
      <c r="M32" s="74"/>
      <c r="N32" s="75"/>
      <c r="O32" s="221">
        <f t="shared" si="6"/>
        <v>0</v>
      </c>
      <c r="P32" s="76"/>
      <c r="Q32" s="221">
        <f t="shared" si="44"/>
        <v>0</v>
      </c>
      <c r="R32" s="221">
        <f t="shared" si="45"/>
        <v>0</v>
      </c>
      <c r="S32" s="221">
        <f t="shared" si="7"/>
        <v>0</v>
      </c>
      <c r="T32" s="79">
        <f t="shared" si="8"/>
        <v>0</v>
      </c>
      <c r="U32" s="79">
        <f t="shared" si="39"/>
        <v>0</v>
      </c>
      <c r="V32" s="80">
        <f t="shared" ca="1" si="9"/>
        <v>0.33333333329999998</v>
      </c>
      <c r="W32" s="249" t="str">
        <f t="shared" ca="1" si="10"/>
        <v/>
      </c>
      <c r="X32" s="293"/>
      <c r="Y32" s="221">
        <f t="shared" si="11"/>
        <v>0</v>
      </c>
      <c r="Z32" s="299">
        <f ca="1">IF(B32="","",INDIRECT(ADDRESS(MATCH(B32,Soll_AZ,1)+MATCH("Arbeitszeit 1 ab",Voreinstellung_Übersicht!B:B,0)-1,WEEKDAY(B32,2)+4,,,"Voreinstellung_Übersicht"),TRUE))</f>
        <v>0.33333333333333331</v>
      </c>
      <c r="AA32" s="300">
        <f t="shared" ca="1" si="40"/>
        <v>0</v>
      </c>
      <c r="AB32" s="219">
        <f t="shared" si="12"/>
        <v>0</v>
      </c>
      <c r="AC32" s="219">
        <f t="shared" si="13"/>
        <v>0</v>
      </c>
      <c r="AD32" s="219">
        <f t="shared" si="14"/>
        <v>0</v>
      </c>
      <c r="AE32" s="219">
        <f t="shared" si="15"/>
        <v>0</v>
      </c>
      <c r="AF32" s="219">
        <f t="shared" si="16"/>
        <v>0</v>
      </c>
      <c r="AG32" s="219">
        <f t="shared" si="17"/>
        <v>0</v>
      </c>
      <c r="AH32" s="219">
        <f t="shared" si="18"/>
        <v>0</v>
      </c>
      <c r="AI32" s="219">
        <f t="shared" si="19"/>
        <v>0</v>
      </c>
      <c r="AJ32" s="219">
        <f t="shared" si="20"/>
        <v>0</v>
      </c>
      <c r="AK32" s="219">
        <f t="shared" si="21"/>
        <v>0</v>
      </c>
      <c r="AL32" s="219">
        <f t="shared" si="22"/>
        <v>0</v>
      </c>
      <c r="AM32" s="219">
        <f t="shared" si="23"/>
        <v>0</v>
      </c>
      <c r="AN32" s="301">
        <f t="shared" si="24"/>
        <v>0</v>
      </c>
      <c r="AO32" s="301">
        <f t="shared" si="25"/>
        <v>0</v>
      </c>
      <c r="AP32" s="301">
        <f t="shared" si="26"/>
        <v>0</v>
      </c>
      <c r="AQ32" s="301">
        <f t="shared" si="27"/>
        <v>0</v>
      </c>
      <c r="AR32" s="301">
        <f t="shared" si="28"/>
        <v>0</v>
      </c>
      <c r="AS32" s="301">
        <f t="shared" si="29"/>
        <v>0</v>
      </c>
      <c r="AT32" s="302">
        <f t="shared" si="30"/>
        <v>0</v>
      </c>
      <c r="AU32" s="302">
        <f t="shared" si="31"/>
        <v>0</v>
      </c>
      <c r="AV32" s="81">
        <f t="shared" si="32"/>
        <v>0</v>
      </c>
      <c r="AW32" s="82">
        <f t="shared" si="33"/>
        <v>0</v>
      </c>
      <c r="AX32" s="81">
        <f t="shared" si="34"/>
        <v>0</v>
      </c>
      <c r="AY32" s="83">
        <f t="shared" si="35"/>
        <v>0</v>
      </c>
      <c r="AZ32" s="83">
        <f t="shared" si="36"/>
        <v>0</v>
      </c>
      <c r="BA32" s="82">
        <f>IF(OR(B32=Feiertage!$A$16,B32=Feiertage!$A$19),U32*Zuschläge_24_31/100,IF(AZ32&gt;0,AZ32*Feiertag_mit/100,IF(AX32&gt;0,AX32*Zuschläge_Sa/100,IF(AY32&gt;0,AY32*Zuschlag_So/100,0))))</f>
        <v>0</v>
      </c>
      <c r="BB32" s="82">
        <f>IF(AND(B32&lt;&gt;0,G32=Voreinstellung_Übersicht!$D$41),IF(EG=1,W32*Über_klein/100,IF(EG=2,W32*Über_groß/100,"Fehler")),0)</f>
        <v>0</v>
      </c>
      <c r="BC32" s="299">
        <f t="shared" ca="1" si="41"/>
        <v>0</v>
      </c>
      <c r="BD32" s="219">
        <f t="shared" ca="1" si="37"/>
        <v>1</v>
      </c>
      <c r="BE32" s="303">
        <f ca="1">IF(B32="","",INDIRECT(ADDRESS(MATCH(B32,Soll_AZ,1)+MATCH("Arbeitszeit 1 ab",Voreinstellung_Übersicht!B:B,0)-1,4,,,"Voreinstellung_Übersicht"),TRUE))</f>
        <v>1.6666666666666665</v>
      </c>
      <c r="BF32" s="1">
        <f t="shared" si="42"/>
        <v>0</v>
      </c>
    </row>
    <row r="33" spans="1:104" s="1" customFormat="1" ht="15" x14ac:dyDescent="0.3">
      <c r="A33" s="218">
        <f t="shared" si="0"/>
        <v>48</v>
      </c>
      <c r="B33" s="47">
        <f t="shared" si="38"/>
        <v>42333</v>
      </c>
      <c r="C33" s="219">
        <f t="shared" si="1"/>
        <v>1</v>
      </c>
      <c r="D33" s="220" t="str">
        <f t="shared" si="2"/>
        <v/>
      </c>
      <c r="E33" s="298" t="str">
        <f t="shared" si="3"/>
        <v/>
      </c>
      <c r="F33" s="87">
        <f t="shared" si="4"/>
        <v>42333</v>
      </c>
      <c r="G33" s="147"/>
      <c r="H33" s="74"/>
      <c r="I33" s="75"/>
      <c r="J33" s="221">
        <f t="shared" si="5"/>
        <v>0</v>
      </c>
      <c r="K33" s="76"/>
      <c r="L33" s="221">
        <f t="shared" si="43"/>
        <v>0</v>
      </c>
      <c r="M33" s="74"/>
      <c r="N33" s="75"/>
      <c r="O33" s="221">
        <f t="shared" si="6"/>
        <v>0</v>
      </c>
      <c r="P33" s="76"/>
      <c r="Q33" s="221">
        <f t="shared" si="44"/>
        <v>0</v>
      </c>
      <c r="R33" s="221">
        <f t="shared" si="45"/>
        <v>0</v>
      </c>
      <c r="S33" s="221">
        <f t="shared" si="7"/>
        <v>0</v>
      </c>
      <c r="T33" s="79">
        <f t="shared" si="8"/>
        <v>0</v>
      </c>
      <c r="U33" s="79">
        <f t="shared" si="39"/>
        <v>0</v>
      </c>
      <c r="V33" s="80">
        <f t="shared" ca="1" si="9"/>
        <v>0.33333333329999998</v>
      </c>
      <c r="W33" s="249" t="str">
        <f t="shared" ca="1" si="10"/>
        <v/>
      </c>
      <c r="X33" s="293"/>
      <c r="Y33" s="221">
        <f t="shared" si="11"/>
        <v>0</v>
      </c>
      <c r="Z33" s="299">
        <f ca="1">IF(B33="","",INDIRECT(ADDRESS(MATCH(B33,Soll_AZ,1)+MATCH("Arbeitszeit 1 ab",Voreinstellung_Übersicht!B:B,0)-1,WEEKDAY(B33,2)+4,,,"Voreinstellung_Übersicht"),TRUE))</f>
        <v>0.33333333333333331</v>
      </c>
      <c r="AA33" s="300">
        <f t="shared" ca="1" si="40"/>
        <v>0</v>
      </c>
      <c r="AB33" s="219">
        <f t="shared" si="12"/>
        <v>0</v>
      </c>
      <c r="AC33" s="219">
        <f t="shared" si="13"/>
        <v>0</v>
      </c>
      <c r="AD33" s="219">
        <f t="shared" si="14"/>
        <v>0</v>
      </c>
      <c r="AE33" s="219">
        <f t="shared" si="15"/>
        <v>0</v>
      </c>
      <c r="AF33" s="219">
        <f t="shared" si="16"/>
        <v>0</v>
      </c>
      <c r="AG33" s="219">
        <f t="shared" si="17"/>
        <v>0</v>
      </c>
      <c r="AH33" s="219">
        <f t="shared" si="18"/>
        <v>0</v>
      </c>
      <c r="AI33" s="219">
        <f t="shared" si="19"/>
        <v>0</v>
      </c>
      <c r="AJ33" s="219">
        <f t="shared" si="20"/>
        <v>0</v>
      </c>
      <c r="AK33" s="219">
        <f t="shared" si="21"/>
        <v>0</v>
      </c>
      <c r="AL33" s="219">
        <f t="shared" si="22"/>
        <v>0</v>
      </c>
      <c r="AM33" s="219">
        <f t="shared" si="23"/>
        <v>0</v>
      </c>
      <c r="AN33" s="301">
        <f t="shared" si="24"/>
        <v>0</v>
      </c>
      <c r="AO33" s="301">
        <f t="shared" si="25"/>
        <v>0</v>
      </c>
      <c r="AP33" s="301">
        <f t="shared" si="26"/>
        <v>0</v>
      </c>
      <c r="AQ33" s="301">
        <f t="shared" si="27"/>
        <v>0</v>
      </c>
      <c r="AR33" s="301">
        <f t="shared" si="28"/>
        <v>0</v>
      </c>
      <c r="AS33" s="301">
        <f t="shared" si="29"/>
        <v>0</v>
      </c>
      <c r="AT33" s="302">
        <f t="shared" si="30"/>
        <v>0</v>
      </c>
      <c r="AU33" s="302">
        <f t="shared" si="31"/>
        <v>0</v>
      </c>
      <c r="AV33" s="81">
        <f t="shared" si="32"/>
        <v>0</v>
      </c>
      <c r="AW33" s="82">
        <f t="shared" si="33"/>
        <v>0</v>
      </c>
      <c r="AX33" s="81">
        <f t="shared" si="34"/>
        <v>0</v>
      </c>
      <c r="AY33" s="83">
        <f t="shared" si="35"/>
        <v>0</v>
      </c>
      <c r="AZ33" s="83">
        <f t="shared" si="36"/>
        <v>0</v>
      </c>
      <c r="BA33" s="82">
        <f>IF(OR(B33=Feiertage!$A$16,B33=Feiertage!$A$19),U33*Zuschläge_24_31/100,IF(AZ33&gt;0,AZ33*Feiertag_mit/100,IF(AX33&gt;0,AX33*Zuschläge_Sa/100,IF(AY33&gt;0,AY33*Zuschlag_So/100,0))))</f>
        <v>0</v>
      </c>
      <c r="BB33" s="82">
        <f>IF(AND(B33&lt;&gt;0,G33=Voreinstellung_Übersicht!$D$41),IF(EG=1,W33*Über_klein/100,IF(EG=2,W33*Über_groß/100,"Fehler")),0)</f>
        <v>0</v>
      </c>
      <c r="BC33" s="299">
        <f t="shared" ca="1" si="41"/>
        <v>0</v>
      </c>
      <c r="BD33" s="219">
        <f t="shared" ca="1" si="37"/>
        <v>1</v>
      </c>
      <c r="BE33" s="303">
        <f ca="1">IF(B33="","",INDIRECT(ADDRESS(MATCH(B33,Soll_AZ,1)+MATCH("Arbeitszeit 1 ab",Voreinstellung_Übersicht!B:B,0)-1,4,,,"Voreinstellung_Übersicht"),TRUE))</f>
        <v>1.6666666666666665</v>
      </c>
      <c r="BF33" s="1">
        <f t="shared" si="42"/>
        <v>0</v>
      </c>
    </row>
    <row r="34" spans="1:104" s="1" customFormat="1" ht="15" x14ac:dyDescent="0.3">
      <c r="A34" s="218">
        <f t="shared" si="0"/>
        <v>48</v>
      </c>
      <c r="B34" s="47">
        <f t="shared" si="38"/>
        <v>42334</v>
      </c>
      <c r="C34" s="219">
        <f t="shared" si="1"/>
        <v>1</v>
      </c>
      <c r="D34" s="220" t="str">
        <f t="shared" si="2"/>
        <v/>
      </c>
      <c r="E34" s="298" t="str">
        <f t="shared" si="3"/>
        <v/>
      </c>
      <c r="F34" s="87">
        <f t="shared" si="4"/>
        <v>42334</v>
      </c>
      <c r="G34" s="147"/>
      <c r="H34" s="74"/>
      <c r="I34" s="75"/>
      <c r="J34" s="221">
        <f t="shared" si="5"/>
        <v>0</v>
      </c>
      <c r="K34" s="76"/>
      <c r="L34" s="221">
        <f t="shared" si="43"/>
        <v>0</v>
      </c>
      <c r="M34" s="74"/>
      <c r="N34" s="75"/>
      <c r="O34" s="221">
        <f t="shared" si="6"/>
        <v>0</v>
      </c>
      <c r="P34" s="76"/>
      <c r="Q34" s="221">
        <f t="shared" si="44"/>
        <v>0</v>
      </c>
      <c r="R34" s="221">
        <f t="shared" si="45"/>
        <v>0</v>
      </c>
      <c r="S34" s="221">
        <f t="shared" si="7"/>
        <v>0</v>
      </c>
      <c r="T34" s="79">
        <f t="shared" si="8"/>
        <v>0</v>
      </c>
      <c r="U34" s="79">
        <f t="shared" si="39"/>
        <v>0</v>
      </c>
      <c r="V34" s="80">
        <f t="shared" ca="1" si="9"/>
        <v>0.33333333329999998</v>
      </c>
      <c r="W34" s="249" t="str">
        <f t="shared" ca="1" si="10"/>
        <v/>
      </c>
      <c r="X34" s="293"/>
      <c r="Y34" s="221">
        <f t="shared" si="11"/>
        <v>0</v>
      </c>
      <c r="Z34" s="299">
        <f ca="1">IF(B34="","",INDIRECT(ADDRESS(MATCH(B34,Soll_AZ,1)+MATCH("Arbeitszeit 1 ab",Voreinstellung_Übersicht!B:B,0)-1,WEEKDAY(B34,2)+4,,,"Voreinstellung_Übersicht"),TRUE))</f>
        <v>0.33333333333333331</v>
      </c>
      <c r="AA34" s="300">
        <f t="shared" ca="1" si="40"/>
        <v>0</v>
      </c>
      <c r="AB34" s="219">
        <f t="shared" si="12"/>
        <v>0</v>
      </c>
      <c r="AC34" s="219">
        <f t="shared" si="13"/>
        <v>0</v>
      </c>
      <c r="AD34" s="219">
        <f t="shared" si="14"/>
        <v>0</v>
      </c>
      <c r="AE34" s="219">
        <f t="shared" si="15"/>
        <v>0</v>
      </c>
      <c r="AF34" s="219">
        <f t="shared" si="16"/>
        <v>0</v>
      </c>
      <c r="AG34" s="219">
        <f t="shared" si="17"/>
        <v>0</v>
      </c>
      <c r="AH34" s="219">
        <f t="shared" si="18"/>
        <v>0</v>
      </c>
      <c r="AI34" s="219">
        <f t="shared" si="19"/>
        <v>0</v>
      </c>
      <c r="AJ34" s="219">
        <f t="shared" si="20"/>
        <v>0</v>
      </c>
      <c r="AK34" s="219">
        <f t="shared" si="21"/>
        <v>0</v>
      </c>
      <c r="AL34" s="219">
        <f t="shared" si="22"/>
        <v>0</v>
      </c>
      <c r="AM34" s="219">
        <f t="shared" si="23"/>
        <v>0</v>
      </c>
      <c r="AN34" s="301">
        <f t="shared" si="24"/>
        <v>0</v>
      </c>
      <c r="AO34" s="301">
        <f t="shared" si="25"/>
        <v>0</v>
      </c>
      <c r="AP34" s="301">
        <f t="shared" si="26"/>
        <v>0</v>
      </c>
      <c r="AQ34" s="301">
        <f t="shared" si="27"/>
        <v>0</v>
      </c>
      <c r="AR34" s="301">
        <f t="shared" si="28"/>
        <v>0</v>
      </c>
      <c r="AS34" s="301">
        <f t="shared" si="29"/>
        <v>0</v>
      </c>
      <c r="AT34" s="302">
        <f t="shared" si="30"/>
        <v>0</v>
      </c>
      <c r="AU34" s="302">
        <f t="shared" si="31"/>
        <v>0</v>
      </c>
      <c r="AV34" s="81">
        <f t="shared" si="32"/>
        <v>0</v>
      </c>
      <c r="AW34" s="82">
        <f t="shared" si="33"/>
        <v>0</v>
      </c>
      <c r="AX34" s="81">
        <f t="shared" si="34"/>
        <v>0</v>
      </c>
      <c r="AY34" s="83">
        <f t="shared" si="35"/>
        <v>0</v>
      </c>
      <c r="AZ34" s="83">
        <f t="shared" si="36"/>
        <v>0</v>
      </c>
      <c r="BA34" s="82">
        <f>IF(OR(B34=Feiertage!$A$16,B34=Feiertage!$A$19),U34*Zuschläge_24_31/100,IF(AZ34&gt;0,AZ34*Feiertag_mit/100,IF(AX34&gt;0,AX34*Zuschläge_Sa/100,IF(AY34&gt;0,AY34*Zuschlag_So/100,0))))</f>
        <v>0</v>
      </c>
      <c r="BB34" s="82">
        <f>IF(AND(B34&lt;&gt;0,G34=Voreinstellung_Übersicht!$D$41),IF(EG=1,W34*Über_klein/100,IF(EG=2,W34*Über_groß/100,"Fehler")),0)</f>
        <v>0</v>
      </c>
      <c r="BC34" s="299">
        <f t="shared" ca="1" si="41"/>
        <v>0</v>
      </c>
      <c r="BD34" s="219">
        <f t="shared" ca="1" si="37"/>
        <v>1</v>
      </c>
      <c r="BE34" s="303">
        <f ca="1">IF(B34="","",INDIRECT(ADDRESS(MATCH(B34,Soll_AZ,1)+MATCH("Arbeitszeit 1 ab",Voreinstellung_Übersicht!B:B,0)-1,4,,,"Voreinstellung_Übersicht"),TRUE))</f>
        <v>1.6666666666666665</v>
      </c>
      <c r="BF34" s="1">
        <f t="shared" si="42"/>
        <v>0</v>
      </c>
    </row>
    <row r="35" spans="1:104" s="1" customFormat="1" ht="15" x14ac:dyDescent="0.3">
      <c r="A35" s="218">
        <f t="shared" si="0"/>
        <v>48</v>
      </c>
      <c r="B35" s="47">
        <f t="shared" si="38"/>
        <v>42335</v>
      </c>
      <c r="C35" s="219">
        <f t="shared" si="1"/>
        <v>1</v>
      </c>
      <c r="D35" s="220" t="str">
        <f t="shared" si="2"/>
        <v/>
      </c>
      <c r="E35" s="298" t="str">
        <f t="shared" si="3"/>
        <v/>
      </c>
      <c r="F35" s="87">
        <f t="shared" si="4"/>
        <v>42335</v>
      </c>
      <c r="G35" s="147"/>
      <c r="H35" s="74"/>
      <c r="I35" s="75"/>
      <c r="J35" s="221">
        <f t="shared" si="5"/>
        <v>0</v>
      </c>
      <c r="K35" s="76"/>
      <c r="L35" s="221">
        <f t="shared" si="43"/>
        <v>0</v>
      </c>
      <c r="M35" s="74"/>
      <c r="N35" s="75"/>
      <c r="O35" s="221">
        <f t="shared" si="6"/>
        <v>0</v>
      </c>
      <c r="P35" s="76"/>
      <c r="Q35" s="221">
        <f t="shared" si="44"/>
        <v>0</v>
      </c>
      <c r="R35" s="221">
        <f t="shared" si="45"/>
        <v>0</v>
      </c>
      <c r="S35" s="221">
        <f t="shared" si="7"/>
        <v>0</v>
      </c>
      <c r="T35" s="79">
        <f t="shared" si="8"/>
        <v>0</v>
      </c>
      <c r="U35" s="79">
        <f t="shared" si="39"/>
        <v>0</v>
      </c>
      <c r="V35" s="80">
        <f t="shared" ca="1" si="9"/>
        <v>0.33333333329999998</v>
      </c>
      <c r="W35" s="249" t="str">
        <f t="shared" ca="1" si="10"/>
        <v/>
      </c>
      <c r="X35" s="293"/>
      <c r="Y35" s="221">
        <f t="shared" si="11"/>
        <v>0</v>
      </c>
      <c r="Z35" s="299">
        <f ca="1">IF(B35="","",INDIRECT(ADDRESS(MATCH(B35,Soll_AZ,1)+MATCH("Arbeitszeit 1 ab",Voreinstellung_Übersicht!B:B,0)-1,WEEKDAY(B35,2)+4,,,"Voreinstellung_Übersicht"),TRUE))</f>
        <v>0.33333333333333331</v>
      </c>
      <c r="AA35" s="300">
        <f t="shared" ca="1" si="40"/>
        <v>0</v>
      </c>
      <c r="AB35" s="219">
        <f t="shared" si="12"/>
        <v>0</v>
      </c>
      <c r="AC35" s="219">
        <f t="shared" si="13"/>
        <v>0</v>
      </c>
      <c r="AD35" s="219">
        <f t="shared" si="14"/>
        <v>0</v>
      </c>
      <c r="AE35" s="219">
        <f t="shared" si="15"/>
        <v>0</v>
      </c>
      <c r="AF35" s="219">
        <f t="shared" si="16"/>
        <v>0</v>
      </c>
      <c r="AG35" s="219">
        <f t="shared" si="17"/>
        <v>0</v>
      </c>
      <c r="AH35" s="219">
        <f t="shared" si="18"/>
        <v>0</v>
      </c>
      <c r="AI35" s="219">
        <f t="shared" si="19"/>
        <v>0</v>
      </c>
      <c r="AJ35" s="219">
        <f t="shared" si="20"/>
        <v>0</v>
      </c>
      <c r="AK35" s="219">
        <f t="shared" si="21"/>
        <v>0</v>
      </c>
      <c r="AL35" s="219">
        <f t="shared" si="22"/>
        <v>0</v>
      </c>
      <c r="AM35" s="219">
        <f t="shared" si="23"/>
        <v>0</v>
      </c>
      <c r="AN35" s="301">
        <f t="shared" si="24"/>
        <v>0</v>
      </c>
      <c r="AO35" s="301">
        <f t="shared" si="25"/>
        <v>0</v>
      </c>
      <c r="AP35" s="301">
        <f t="shared" si="26"/>
        <v>0</v>
      </c>
      <c r="AQ35" s="301">
        <f t="shared" si="27"/>
        <v>0</v>
      </c>
      <c r="AR35" s="301">
        <f t="shared" si="28"/>
        <v>0</v>
      </c>
      <c r="AS35" s="301">
        <f t="shared" si="29"/>
        <v>0</v>
      </c>
      <c r="AT35" s="302">
        <f t="shared" si="30"/>
        <v>0</v>
      </c>
      <c r="AU35" s="302">
        <f t="shared" si="31"/>
        <v>0</v>
      </c>
      <c r="AV35" s="81">
        <f t="shared" si="32"/>
        <v>0</v>
      </c>
      <c r="AW35" s="82">
        <f t="shared" si="33"/>
        <v>0</v>
      </c>
      <c r="AX35" s="81">
        <f t="shared" si="34"/>
        <v>0</v>
      </c>
      <c r="AY35" s="83">
        <f t="shared" si="35"/>
        <v>0</v>
      </c>
      <c r="AZ35" s="83">
        <f t="shared" si="36"/>
        <v>0</v>
      </c>
      <c r="BA35" s="82">
        <f>IF(OR(B35=Feiertage!$A$16,B35=Feiertage!$A$19),U35*Zuschläge_24_31/100,IF(AZ35&gt;0,AZ35*Feiertag_mit/100,IF(AX35&gt;0,AX35*Zuschläge_Sa/100,IF(AY35&gt;0,AY35*Zuschlag_So/100,0))))</f>
        <v>0</v>
      </c>
      <c r="BB35" s="82">
        <f>IF(AND(B35&lt;&gt;0,G35=Voreinstellung_Übersicht!$D$41),IF(EG=1,W35*Über_klein/100,IF(EG=2,W35*Über_groß/100,"Fehler")),0)</f>
        <v>0</v>
      </c>
      <c r="BC35" s="299">
        <f t="shared" ca="1" si="41"/>
        <v>0</v>
      </c>
      <c r="BD35" s="219">
        <f t="shared" ca="1" si="37"/>
        <v>1</v>
      </c>
      <c r="BE35" s="303">
        <f ca="1">IF(B35="","",INDIRECT(ADDRESS(MATCH(B35,Soll_AZ,1)+MATCH("Arbeitszeit 1 ab",Voreinstellung_Übersicht!B:B,0)-1,4,,,"Voreinstellung_Übersicht"),TRUE))</f>
        <v>1.6666666666666665</v>
      </c>
      <c r="BF35" s="1">
        <f t="shared" si="42"/>
        <v>0</v>
      </c>
    </row>
    <row r="36" spans="1:104" s="1" customFormat="1" ht="15" x14ac:dyDescent="0.3">
      <c r="A36" s="218">
        <f t="shared" si="0"/>
        <v>48</v>
      </c>
      <c r="B36" s="47">
        <f t="shared" si="38"/>
        <v>42336</v>
      </c>
      <c r="C36" s="219">
        <f t="shared" si="1"/>
        <v>1</v>
      </c>
      <c r="D36" s="220" t="str">
        <f t="shared" si="2"/>
        <v/>
      </c>
      <c r="E36" s="298" t="str">
        <f t="shared" si="3"/>
        <v/>
      </c>
      <c r="F36" s="87">
        <f t="shared" si="4"/>
        <v>42336</v>
      </c>
      <c r="G36" s="147"/>
      <c r="H36" s="74"/>
      <c r="I36" s="75"/>
      <c r="J36" s="221">
        <f t="shared" si="5"/>
        <v>0</v>
      </c>
      <c r="K36" s="76"/>
      <c r="L36" s="221">
        <f t="shared" si="43"/>
        <v>0</v>
      </c>
      <c r="M36" s="74"/>
      <c r="N36" s="75"/>
      <c r="O36" s="221">
        <f t="shared" si="6"/>
        <v>0</v>
      </c>
      <c r="P36" s="76"/>
      <c r="Q36" s="221">
        <f t="shared" si="44"/>
        <v>0</v>
      </c>
      <c r="R36" s="221">
        <f t="shared" si="45"/>
        <v>0</v>
      </c>
      <c r="S36" s="221">
        <f t="shared" si="7"/>
        <v>0</v>
      </c>
      <c r="T36" s="79">
        <f t="shared" si="8"/>
        <v>0</v>
      </c>
      <c r="U36" s="79">
        <f t="shared" si="39"/>
        <v>0</v>
      </c>
      <c r="V36" s="80">
        <f t="shared" ca="1" si="9"/>
        <v>0.33333333329999998</v>
      </c>
      <c r="W36" s="249" t="str">
        <f t="shared" ca="1" si="10"/>
        <v/>
      </c>
      <c r="X36" s="293"/>
      <c r="Y36" s="221">
        <f t="shared" si="11"/>
        <v>0</v>
      </c>
      <c r="Z36" s="299">
        <f ca="1">IF(B36="","",INDIRECT(ADDRESS(MATCH(B36,Soll_AZ,1)+MATCH("Arbeitszeit 1 ab",Voreinstellung_Übersicht!B:B,0)-1,WEEKDAY(B36,2)+4,,,"Voreinstellung_Übersicht"),TRUE))</f>
        <v>0.33333333333333331</v>
      </c>
      <c r="AA36" s="300">
        <f t="shared" ca="1" si="40"/>
        <v>0</v>
      </c>
      <c r="AB36" s="219">
        <f t="shared" si="12"/>
        <v>0</v>
      </c>
      <c r="AC36" s="219">
        <f t="shared" si="13"/>
        <v>0</v>
      </c>
      <c r="AD36" s="219">
        <f t="shared" si="14"/>
        <v>0</v>
      </c>
      <c r="AE36" s="219">
        <f t="shared" si="15"/>
        <v>0</v>
      </c>
      <c r="AF36" s="219">
        <f t="shared" si="16"/>
        <v>0</v>
      </c>
      <c r="AG36" s="219">
        <f t="shared" si="17"/>
        <v>0</v>
      </c>
      <c r="AH36" s="219">
        <f t="shared" si="18"/>
        <v>0</v>
      </c>
      <c r="AI36" s="219">
        <f t="shared" si="19"/>
        <v>0</v>
      </c>
      <c r="AJ36" s="219">
        <f t="shared" si="20"/>
        <v>0</v>
      </c>
      <c r="AK36" s="219">
        <f t="shared" si="21"/>
        <v>0</v>
      </c>
      <c r="AL36" s="219">
        <f t="shared" si="22"/>
        <v>0</v>
      </c>
      <c r="AM36" s="219">
        <f t="shared" si="23"/>
        <v>0</v>
      </c>
      <c r="AN36" s="301">
        <f t="shared" si="24"/>
        <v>0</v>
      </c>
      <c r="AO36" s="301">
        <f t="shared" si="25"/>
        <v>0</v>
      </c>
      <c r="AP36" s="301">
        <f t="shared" si="26"/>
        <v>0</v>
      </c>
      <c r="AQ36" s="301">
        <f t="shared" si="27"/>
        <v>0</v>
      </c>
      <c r="AR36" s="301">
        <f t="shared" si="28"/>
        <v>0</v>
      </c>
      <c r="AS36" s="301">
        <f t="shared" si="29"/>
        <v>0</v>
      </c>
      <c r="AT36" s="302">
        <f t="shared" si="30"/>
        <v>0</v>
      </c>
      <c r="AU36" s="302">
        <f t="shared" si="31"/>
        <v>0</v>
      </c>
      <c r="AV36" s="81">
        <f t="shared" si="32"/>
        <v>0</v>
      </c>
      <c r="AW36" s="82">
        <f t="shared" si="33"/>
        <v>0</v>
      </c>
      <c r="AX36" s="81">
        <f t="shared" si="34"/>
        <v>0</v>
      </c>
      <c r="AY36" s="83">
        <f t="shared" si="35"/>
        <v>0</v>
      </c>
      <c r="AZ36" s="83">
        <f t="shared" si="36"/>
        <v>0</v>
      </c>
      <c r="BA36" s="82">
        <f>IF(OR(B36=Feiertage!$A$16,B36=Feiertage!$A$19),U36*Zuschläge_24_31/100,IF(AZ36&gt;0,AZ36*Feiertag_mit/100,IF(AX36&gt;0,AX36*Zuschläge_Sa/100,IF(AY36&gt;0,AY36*Zuschlag_So/100,0))))</f>
        <v>0</v>
      </c>
      <c r="BB36" s="82">
        <f>IF(AND(B36&lt;&gt;0,G36=Voreinstellung_Übersicht!$D$41),IF(EG=1,W36*Über_klein/100,IF(EG=2,W36*Über_groß/100,"Fehler")),0)</f>
        <v>0</v>
      </c>
      <c r="BC36" s="299">
        <f t="shared" ca="1" si="41"/>
        <v>0</v>
      </c>
      <c r="BD36" s="219">
        <f t="shared" ca="1" si="37"/>
        <v>1</v>
      </c>
      <c r="BE36" s="303">
        <f ca="1">IF(B36="","",INDIRECT(ADDRESS(MATCH(B36,Soll_AZ,1)+MATCH("Arbeitszeit 1 ab",Voreinstellung_Übersicht!B:B,0)-1,4,,,"Voreinstellung_Übersicht"),TRUE))</f>
        <v>1.6666666666666665</v>
      </c>
      <c r="BF36" s="1">
        <f t="shared" si="42"/>
        <v>0</v>
      </c>
    </row>
    <row r="37" spans="1:104" s="1" customFormat="1" ht="15" x14ac:dyDescent="0.3">
      <c r="A37" s="218">
        <f t="shared" si="0"/>
        <v>48</v>
      </c>
      <c r="B37" s="47">
        <f t="shared" si="38"/>
        <v>42337</v>
      </c>
      <c r="C37" s="219">
        <f t="shared" si="1"/>
        <v>0</v>
      </c>
      <c r="D37" s="220" t="str">
        <f t="shared" si="2"/>
        <v/>
      </c>
      <c r="E37" s="298" t="str">
        <f t="shared" si="3"/>
        <v/>
      </c>
      <c r="F37" s="87">
        <f t="shared" si="4"/>
        <v>42337</v>
      </c>
      <c r="G37" s="147"/>
      <c r="H37" s="74"/>
      <c r="I37" s="75"/>
      <c r="J37" s="221">
        <f t="shared" si="5"/>
        <v>0</v>
      </c>
      <c r="K37" s="76"/>
      <c r="L37" s="221">
        <f t="shared" si="43"/>
        <v>0</v>
      </c>
      <c r="M37" s="74"/>
      <c r="N37" s="75"/>
      <c r="O37" s="221">
        <f t="shared" si="6"/>
        <v>0</v>
      </c>
      <c r="P37" s="76"/>
      <c r="Q37" s="221">
        <f t="shared" si="44"/>
        <v>0</v>
      </c>
      <c r="R37" s="221">
        <f t="shared" si="45"/>
        <v>0</v>
      </c>
      <c r="S37" s="221">
        <f t="shared" si="7"/>
        <v>0</v>
      </c>
      <c r="T37" s="79">
        <f t="shared" si="8"/>
        <v>0</v>
      </c>
      <c r="U37" s="79">
        <f t="shared" si="39"/>
        <v>0</v>
      </c>
      <c r="V37" s="80">
        <f t="shared" ca="1" si="9"/>
        <v>0</v>
      </c>
      <c r="W37" s="249" t="str">
        <f t="shared" ca="1" si="10"/>
        <v/>
      </c>
      <c r="X37" s="293"/>
      <c r="Y37" s="221">
        <f t="shared" si="11"/>
        <v>0</v>
      </c>
      <c r="Z37" s="299">
        <f ca="1">IF(B37="","",INDIRECT(ADDRESS(MATCH(B37,Soll_AZ,1)+MATCH("Arbeitszeit 1 ab",Voreinstellung_Übersicht!B:B,0)-1,WEEKDAY(B37,2)+4,,,"Voreinstellung_Übersicht"),TRUE))</f>
        <v>0</v>
      </c>
      <c r="AA37" s="300">
        <f t="shared" ca="1" si="40"/>
        <v>0</v>
      </c>
      <c r="AB37" s="219">
        <f t="shared" si="12"/>
        <v>0</v>
      </c>
      <c r="AC37" s="219">
        <f t="shared" si="13"/>
        <v>0</v>
      </c>
      <c r="AD37" s="219">
        <f t="shared" si="14"/>
        <v>0</v>
      </c>
      <c r="AE37" s="219">
        <f t="shared" si="15"/>
        <v>0</v>
      </c>
      <c r="AF37" s="219">
        <f t="shared" si="16"/>
        <v>0</v>
      </c>
      <c r="AG37" s="219">
        <f t="shared" si="17"/>
        <v>0</v>
      </c>
      <c r="AH37" s="219">
        <f t="shared" si="18"/>
        <v>0</v>
      </c>
      <c r="AI37" s="219">
        <f t="shared" si="19"/>
        <v>0</v>
      </c>
      <c r="AJ37" s="219">
        <f t="shared" si="20"/>
        <v>0</v>
      </c>
      <c r="AK37" s="219">
        <f t="shared" si="21"/>
        <v>0</v>
      </c>
      <c r="AL37" s="219">
        <f t="shared" si="22"/>
        <v>0</v>
      </c>
      <c r="AM37" s="219">
        <f t="shared" si="23"/>
        <v>0</v>
      </c>
      <c r="AN37" s="301">
        <f t="shared" si="24"/>
        <v>0</v>
      </c>
      <c r="AO37" s="301">
        <f t="shared" si="25"/>
        <v>0</v>
      </c>
      <c r="AP37" s="301">
        <f t="shared" si="26"/>
        <v>0</v>
      </c>
      <c r="AQ37" s="301">
        <f t="shared" si="27"/>
        <v>0</v>
      </c>
      <c r="AR37" s="301">
        <f t="shared" si="28"/>
        <v>0</v>
      </c>
      <c r="AS37" s="301">
        <f t="shared" si="29"/>
        <v>0</v>
      </c>
      <c r="AT37" s="302">
        <f t="shared" si="30"/>
        <v>0</v>
      </c>
      <c r="AU37" s="302">
        <f t="shared" si="31"/>
        <v>0</v>
      </c>
      <c r="AV37" s="81">
        <f t="shared" si="32"/>
        <v>0</v>
      </c>
      <c r="AW37" s="82">
        <f t="shared" si="33"/>
        <v>0</v>
      </c>
      <c r="AX37" s="81">
        <f t="shared" si="34"/>
        <v>0</v>
      </c>
      <c r="AY37" s="83">
        <f t="shared" si="35"/>
        <v>0</v>
      </c>
      <c r="AZ37" s="83">
        <f t="shared" si="36"/>
        <v>0</v>
      </c>
      <c r="BA37" s="82">
        <f>IF(OR(B37=Feiertage!$A$16,B37=Feiertage!$A$19),U37*Zuschläge_24_31/100,IF(AZ37&gt;0,AZ37*Feiertag_mit/100,IF(AX37&gt;0,AX37*Zuschläge_Sa/100,IF(AY37&gt;0,AY37*Zuschlag_So/100,0))))</f>
        <v>0</v>
      </c>
      <c r="BB37" s="82">
        <f>IF(AND(B37&lt;&gt;0,G37=Voreinstellung_Übersicht!$D$41),IF(EG=1,W37*Über_klein/100,IF(EG=2,W37*Über_groß/100,"Fehler")),0)</f>
        <v>0</v>
      </c>
      <c r="BC37" s="299">
        <f t="shared" ca="1" si="41"/>
        <v>0</v>
      </c>
      <c r="BD37" s="219">
        <f t="shared" ca="1" si="37"/>
        <v>1</v>
      </c>
      <c r="BE37" s="303">
        <f ca="1">IF(B37="","",INDIRECT(ADDRESS(MATCH(B37,Soll_AZ,1)+MATCH("Arbeitszeit 1 ab",Voreinstellung_Übersicht!B:B,0)-1,4,,,"Voreinstellung_Übersicht"),TRUE))</f>
        <v>1.6666666666666665</v>
      </c>
      <c r="BF37" s="1">
        <f t="shared" si="42"/>
        <v>0</v>
      </c>
    </row>
    <row r="38" spans="1:104" s="172" customFormat="1" ht="15" x14ac:dyDescent="0.3">
      <c r="A38" s="229"/>
      <c r="B38" s="217"/>
      <c r="C38" s="230"/>
      <c r="D38" s="231"/>
      <c r="E38" s="304"/>
      <c r="F38" s="216"/>
      <c r="G38" s="147"/>
      <c r="H38" s="77"/>
      <c r="I38" s="75"/>
      <c r="J38" s="221"/>
      <c r="K38" s="76"/>
      <c r="L38" s="221"/>
      <c r="M38" s="77"/>
      <c r="N38" s="215"/>
      <c r="O38" s="232"/>
      <c r="P38" s="78"/>
      <c r="Q38" s="221"/>
      <c r="R38" s="221"/>
      <c r="S38" s="221"/>
      <c r="T38" s="79"/>
      <c r="U38" s="79"/>
      <c r="V38" s="80"/>
      <c r="W38" s="249"/>
      <c r="X38" s="294"/>
      <c r="Y38" s="221"/>
      <c r="Z38" s="299"/>
      <c r="AA38" s="300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301"/>
      <c r="AO38" s="301"/>
      <c r="AP38" s="301"/>
      <c r="AQ38" s="301"/>
      <c r="AR38" s="301"/>
      <c r="AS38" s="301"/>
      <c r="AT38" s="302"/>
      <c r="AU38" s="302"/>
      <c r="AV38" s="81"/>
      <c r="AW38" s="82"/>
      <c r="AX38" s="81"/>
      <c r="AY38" s="212"/>
      <c r="AZ38" s="212"/>
      <c r="BA38" s="213"/>
      <c r="BB38" s="213"/>
      <c r="BC38" s="299">
        <f t="shared" ca="1" si="41"/>
        <v>0</v>
      </c>
      <c r="BD38" s="219"/>
      <c r="BE38" s="306"/>
      <c r="BF38" s="1">
        <f t="shared" si="42"/>
        <v>0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5" x14ac:dyDescent="0.25">
      <c r="A39" s="233"/>
      <c r="B39" s="233"/>
      <c r="C39" s="233"/>
      <c r="D39" s="233"/>
      <c r="E39" s="233"/>
      <c r="F39" s="488" t="s">
        <v>49</v>
      </c>
      <c r="G39" s="489"/>
      <c r="H39" s="482" t="s">
        <v>171</v>
      </c>
      <c r="I39" s="483"/>
      <c r="J39" s="307"/>
      <c r="K39" s="308">
        <f>AB39</f>
        <v>0</v>
      </c>
      <c r="L39" s="221"/>
      <c r="M39" s="206"/>
      <c r="N39" s="206"/>
      <c r="O39" s="221"/>
      <c r="P39" s="206"/>
      <c r="Q39" s="221"/>
      <c r="R39" s="221"/>
      <c r="S39" s="221"/>
      <c r="T39" s="479" t="s">
        <v>172</v>
      </c>
      <c r="U39" s="482" t="s">
        <v>171</v>
      </c>
      <c r="V39" s="483"/>
      <c r="W39" s="234">
        <f ca="1">Okt!W41</f>
        <v>0</v>
      </c>
      <c r="X39" s="309"/>
      <c r="Y39" s="221" t="s">
        <v>173</v>
      </c>
      <c r="Z39" s="299" t="s">
        <v>174</v>
      </c>
      <c r="AA39" s="300"/>
      <c r="AB39" s="219">
        <f>Okt!AB41</f>
        <v>0</v>
      </c>
      <c r="AC39" s="219">
        <f>Okt!AC41</f>
        <v>0</v>
      </c>
      <c r="AD39" s="219">
        <f>Okt!AD41</f>
        <v>0</v>
      </c>
      <c r="AE39" s="219">
        <f>Okt!AE41</f>
        <v>0</v>
      </c>
      <c r="AF39" s="219">
        <f>Okt!AF41</f>
        <v>0</v>
      </c>
      <c r="AG39" s="219">
        <f>Okt!AG41</f>
        <v>0</v>
      </c>
      <c r="AH39" s="219">
        <f>Okt!AH41</f>
        <v>0</v>
      </c>
      <c r="AI39" s="219">
        <f>Okt!AI41</f>
        <v>0</v>
      </c>
      <c r="AJ39" s="219">
        <f>Okt!AJ41</f>
        <v>0</v>
      </c>
      <c r="AK39" s="219">
        <f>Okt!AK41</f>
        <v>0</v>
      </c>
      <c r="AL39" s="219">
        <f>Okt!AL41</f>
        <v>0</v>
      </c>
      <c r="AM39" s="219">
        <f>Okt!AM41</f>
        <v>0</v>
      </c>
      <c r="AN39" s="301"/>
      <c r="AO39" s="301"/>
      <c r="AP39" s="301"/>
      <c r="AQ39" s="301"/>
      <c r="AR39" s="301"/>
      <c r="AS39" s="301"/>
      <c r="AT39" s="302"/>
      <c r="AU39" s="302"/>
      <c r="AV39" s="484" t="s">
        <v>176</v>
      </c>
      <c r="AW39" s="234">
        <f>Voreinstellung_Übersicht!H12</f>
        <v>0</v>
      </c>
      <c r="AX39" s="310">
        <f>IF(AZ_Konto,SUM(AW8:AW38),0)</f>
        <v>0</v>
      </c>
      <c r="AY39" s="311"/>
      <c r="AZ39" s="312"/>
      <c r="BA39" s="311">
        <f>IF(AZ_Konto,SUM(BA8:BA38),0)</f>
        <v>0</v>
      </c>
      <c r="BB39" s="311">
        <f>IF(AZ_Konto,SUM(BB8:BB38),0)</f>
        <v>0</v>
      </c>
      <c r="BC39" s="299">
        <f ca="1">BC38</f>
        <v>0</v>
      </c>
      <c r="BD39" s="219"/>
      <c r="BE39" s="303"/>
      <c r="BF39"/>
    </row>
    <row r="40" spans="1:104" ht="15" x14ac:dyDescent="0.25">
      <c r="A40" s="233"/>
      <c r="B40" s="233"/>
      <c r="C40" s="233"/>
      <c r="D40" s="233"/>
      <c r="E40" s="233"/>
      <c r="F40" s="488"/>
      <c r="G40" s="490"/>
      <c r="H40" s="482" t="s">
        <v>177</v>
      </c>
      <c r="I40" s="483"/>
      <c r="J40" s="235"/>
      <c r="K40" s="236">
        <f>-AB40</f>
        <v>0</v>
      </c>
      <c r="L40" s="221"/>
      <c r="M40" s="206"/>
      <c r="N40" s="206"/>
      <c r="O40" s="221"/>
      <c r="P40" s="206"/>
      <c r="Q40" s="221"/>
      <c r="R40" s="221"/>
      <c r="S40" s="221"/>
      <c r="T40" s="480"/>
      <c r="U40" s="482" t="s">
        <v>177</v>
      </c>
      <c r="V40" s="483"/>
      <c r="W40" s="237">
        <f ca="1">SUM(W8:W38)</f>
        <v>0</v>
      </c>
      <c r="X40" s="309"/>
      <c r="Y40" s="221">
        <f>SUM(Y8:Y38)</f>
        <v>0</v>
      </c>
      <c r="Z40" s="299">
        <f ca="1">SUM(Z8:Z38)</f>
        <v>6.9999999999999973</v>
      </c>
      <c r="AA40" s="300"/>
      <c r="AB40" s="219">
        <f t="shared" ref="AB40:AM40" si="46">SUM(AB8:AB38)</f>
        <v>0</v>
      </c>
      <c r="AC40" s="219">
        <f t="shared" si="46"/>
        <v>0</v>
      </c>
      <c r="AD40" s="219">
        <f t="shared" si="46"/>
        <v>0</v>
      </c>
      <c r="AE40" s="219">
        <f t="shared" si="46"/>
        <v>0</v>
      </c>
      <c r="AF40" s="219">
        <f t="shared" si="46"/>
        <v>0</v>
      </c>
      <c r="AG40" s="219">
        <f t="shared" si="46"/>
        <v>0</v>
      </c>
      <c r="AH40" s="219">
        <f t="shared" si="46"/>
        <v>0</v>
      </c>
      <c r="AI40" s="219">
        <f t="shared" si="46"/>
        <v>0</v>
      </c>
      <c r="AJ40" s="219">
        <f t="shared" si="46"/>
        <v>0</v>
      </c>
      <c r="AK40" s="219">
        <f t="shared" si="46"/>
        <v>0</v>
      </c>
      <c r="AL40" s="219">
        <f t="shared" si="46"/>
        <v>0</v>
      </c>
      <c r="AM40" s="219">
        <f t="shared" si="46"/>
        <v>0</v>
      </c>
      <c r="AN40" s="301"/>
      <c r="AO40" s="301"/>
      <c r="AP40" s="301"/>
      <c r="AQ40" s="301"/>
      <c r="AR40" s="301"/>
      <c r="AS40" s="301"/>
      <c r="AT40" s="302"/>
      <c r="AU40" s="302"/>
      <c r="AV40" s="485"/>
      <c r="AW40" s="237" t="str">
        <f>IF(SUM(AX39,BA39,BB39)&gt;0,SUM(AX39,BA39,BB39),"")</f>
        <v/>
      </c>
      <c r="AX40" s="313"/>
      <c r="AY40" s="313"/>
      <c r="AZ40" s="313"/>
      <c r="BA40" s="313"/>
      <c r="BB40" s="313"/>
      <c r="BC40" s="299"/>
      <c r="BD40" s="219"/>
      <c r="BE40" s="303"/>
      <c r="BF40"/>
    </row>
    <row r="41" spans="1:104" ht="15" x14ac:dyDescent="0.25">
      <c r="A41" s="233"/>
      <c r="B41" s="233"/>
      <c r="C41" s="233"/>
      <c r="D41" s="233"/>
      <c r="E41" s="233"/>
      <c r="F41" s="491"/>
      <c r="G41" s="492"/>
      <c r="H41" s="482" t="s">
        <v>178</v>
      </c>
      <c r="I41" s="483"/>
      <c r="J41" s="238"/>
      <c r="K41" s="239">
        <f>AB41</f>
        <v>0</v>
      </c>
      <c r="L41" s="221"/>
      <c r="M41" s="206"/>
      <c r="N41" s="206"/>
      <c r="O41" s="221"/>
      <c r="P41" s="206"/>
      <c r="Q41" s="221"/>
      <c r="R41" s="221"/>
      <c r="S41" s="221"/>
      <c r="T41" s="481"/>
      <c r="U41" s="482" t="s">
        <v>178</v>
      </c>
      <c r="V41" s="483"/>
      <c r="W41" s="240">
        <f ca="1">SUM(W39:W40)</f>
        <v>0</v>
      </c>
      <c r="X41" s="309"/>
      <c r="Y41" s="221"/>
      <c r="Z41" s="299"/>
      <c r="AA41" s="300"/>
      <c r="AB41" s="219">
        <f>AB39-AB40</f>
        <v>0</v>
      </c>
      <c r="AC41" s="219">
        <f t="shared" ref="AC41:AM41" si="47">SUM(AC39:AC40)</f>
        <v>0</v>
      </c>
      <c r="AD41" s="219">
        <f t="shared" si="47"/>
        <v>0</v>
      </c>
      <c r="AE41" s="219">
        <f t="shared" si="47"/>
        <v>0</v>
      </c>
      <c r="AF41" s="219">
        <f t="shared" si="47"/>
        <v>0</v>
      </c>
      <c r="AG41" s="219">
        <f t="shared" si="47"/>
        <v>0</v>
      </c>
      <c r="AH41" s="219">
        <f t="shared" si="47"/>
        <v>0</v>
      </c>
      <c r="AI41" s="219">
        <f t="shared" si="47"/>
        <v>0</v>
      </c>
      <c r="AJ41" s="219">
        <f t="shared" si="47"/>
        <v>0</v>
      </c>
      <c r="AK41" s="219">
        <f t="shared" si="47"/>
        <v>0</v>
      </c>
      <c r="AL41" s="219">
        <f t="shared" si="47"/>
        <v>0</v>
      </c>
      <c r="AM41" s="219">
        <f t="shared" si="47"/>
        <v>0</v>
      </c>
      <c r="AN41" s="301"/>
      <c r="AO41" s="301"/>
      <c r="AP41" s="301"/>
      <c r="AQ41" s="301"/>
      <c r="AR41" s="301"/>
      <c r="AS41" s="301"/>
      <c r="AT41" s="302"/>
      <c r="AU41" s="302"/>
      <c r="AV41" s="486"/>
      <c r="AW41" s="240">
        <f>SUM(AW39:AW40)</f>
        <v>0</v>
      </c>
      <c r="AX41" s="314"/>
      <c r="AY41" s="314"/>
      <c r="AZ41" s="314"/>
      <c r="BA41" s="314"/>
      <c r="BB41" s="314"/>
      <c r="BC41" s="299"/>
      <c r="BD41" s="219"/>
      <c r="BE41" s="303"/>
      <c r="BF41"/>
    </row>
    <row r="42" spans="1:104" s="1" customFormat="1" ht="15" x14ac:dyDescent="0.3">
      <c r="A42" s="88"/>
      <c r="B42" s="47"/>
      <c r="C42" s="6"/>
      <c r="D42" s="89"/>
      <c r="E42" s="90"/>
      <c r="F42" s="487" t="s">
        <v>179</v>
      </c>
      <c r="G42" s="487"/>
      <c r="H42" s="487"/>
      <c r="I42" s="487"/>
      <c r="J42" s="347"/>
      <c r="K42" s="186">
        <f>NETWORKDAYS(B8,B37,Feiertage)</f>
        <v>20</v>
      </c>
      <c r="L42" s="331"/>
      <c r="M42" s="330"/>
      <c r="N42" s="330"/>
      <c r="O42" s="331"/>
      <c r="P42" s="330"/>
      <c r="Q42" s="331"/>
      <c r="R42" s="331"/>
      <c r="S42" s="331"/>
      <c r="T42" s="332"/>
      <c r="U42" s="332"/>
      <c r="V42" s="332"/>
      <c r="W42" s="332"/>
      <c r="X42" s="333"/>
      <c r="Y42" s="331"/>
      <c r="Z42" s="334"/>
      <c r="AA42" s="335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7"/>
      <c r="AO42" s="337"/>
      <c r="AP42" s="337"/>
      <c r="AQ42" s="337"/>
      <c r="AR42" s="337"/>
      <c r="AS42" s="337"/>
      <c r="AT42" s="338"/>
      <c r="AU42" s="338"/>
      <c r="AV42" s="339"/>
      <c r="AW42" s="340"/>
      <c r="AX42" s="83"/>
      <c r="AY42" s="83"/>
      <c r="AZ42" s="83"/>
      <c r="BA42" s="173"/>
      <c r="BB42" s="173"/>
      <c r="BC42" s="15"/>
      <c r="BD42" s="6"/>
      <c r="BE42" s="169"/>
    </row>
    <row r="43" spans="1:104" s="1" customFormat="1" ht="15" x14ac:dyDescent="0.3">
      <c r="A43" s="11"/>
      <c r="B43" s="47"/>
      <c r="C43" s="6"/>
      <c r="D43" s="6"/>
      <c r="E43" s="12"/>
      <c r="F43" s="487" t="s">
        <v>180</v>
      </c>
      <c r="G43" s="487"/>
      <c r="H43" s="487"/>
      <c r="I43" s="487"/>
      <c r="J43" s="348"/>
      <c r="K43" s="186">
        <f>SUM(BF8:BF38)</f>
        <v>0</v>
      </c>
      <c r="L43" s="336"/>
      <c r="M43" s="341"/>
      <c r="N43" s="341"/>
      <c r="O43" s="336"/>
      <c r="P43" s="341"/>
      <c r="Q43" s="336"/>
      <c r="R43" s="336"/>
      <c r="S43" s="336"/>
      <c r="T43" s="341"/>
      <c r="U43" s="341"/>
      <c r="V43" s="341"/>
      <c r="W43" s="341"/>
      <c r="X43" s="342"/>
      <c r="Y43" s="331"/>
      <c r="Z43" s="343"/>
      <c r="AA43" s="344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45"/>
      <c r="AO43" s="336"/>
      <c r="AP43" s="336"/>
      <c r="AQ43" s="336"/>
      <c r="AR43" s="336"/>
      <c r="AS43" s="336"/>
      <c r="AT43" s="346"/>
      <c r="AU43" s="346"/>
      <c r="AV43" s="341"/>
      <c r="AW43" s="341"/>
      <c r="AX43" s="26"/>
      <c r="AY43" s="26"/>
      <c r="AZ43" s="26"/>
      <c r="BA43" s="26"/>
      <c r="BC43" s="6"/>
      <c r="BD43" s="6"/>
      <c r="BE43" s="6"/>
    </row>
    <row r="45" spans="1:104" x14ac:dyDescent="0.3">
      <c r="A45" s="11"/>
      <c r="B45" s="47"/>
      <c r="C45" s="6"/>
      <c r="D45" s="6"/>
      <c r="E45" s="12"/>
      <c r="F45" s="329"/>
      <c r="G45" s="329"/>
      <c r="H45" s="341"/>
      <c r="I45" s="341"/>
      <c r="J45" s="336"/>
      <c r="K45" s="341"/>
      <c r="L45" s="336"/>
      <c r="M45" s="341"/>
      <c r="N45" s="341"/>
      <c r="O45" s="336"/>
      <c r="P45" s="341"/>
      <c r="Q45" s="336"/>
      <c r="R45" s="336"/>
      <c r="S45" s="336"/>
      <c r="T45" s="341"/>
      <c r="U45" s="341"/>
      <c r="V45" s="341"/>
      <c r="W45" s="341"/>
      <c r="X45" s="342"/>
      <c r="Y45" s="331"/>
      <c r="Z45" s="343"/>
      <c r="AA45" s="344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45"/>
      <c r="AO45" s="336"/>
      <c r="AP45" s="336"/>
      <c r="AQ45" s="336"/>
      <c r="AR45" s="336"/>
      <c r="AS45" s="336"/>
      <c r="AT45" s="346"/>
      <c r="AU45" s="346"/>
      <c r="AV45" s="341"/>
      <c r="AW45" s="341"/>
      <c r="AX45" s="26"/>
      <c r="AY45" s="26"/>
      <c r="AZ45" s="26"/>
      <c r="BA45" s="26"/>
      <c r="BB45" s="1"/>
      <c r="BC45" s="6"/>
      <c r="BD45" s="6"/>
      <c r="BE45" s="6"/>
      <c r="BG45" s="1"/>
    </row>
    <row r="46" spans="1:104" x14ac:dyDescent="0.3">
      <c r="A46" s="11"/>
      <c r="B46" s="47"/>
      <c r="C46" s="6"/>
      <c r="D46" s="6"/>
      <c r="E46" s="12"/>
      <c r="F46" s="329"/>
      <c r="G46" s="329"/>
      <c r="H46" s="341"/>
      <c r="I46" s="341"/>
      <c r="J46" s="336"/>
      <c r="K46" s="341"/>
      <c r="L46" s="336"/>
      <c r="M46" s="341"/>
      <c r="N46" s="341"/>
      <c r="O46" s="336"/>
      <c r="P46" s="341"/>
      <c r="Q46" s="336"/>
      <c r="R46" s="336"/>
      <c r="S46" s="336"/>
      <c r="T46" s="341"/>
      <c r="U46" s="341"/>
      <c r="V46" s="341"/>
      <c r="W46" s="341"/>
      <c r="X46" s="342"/>
      <c r="Y46" s="331"/>
      <c r="Z46" s="343"/>
      <c r="AA46" s="344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45"/>
      <c r="AO46" s="336"/>
      <c r="AP46" s="336"/>
      <c r="AQ46" s="336"/>
      <c r="AR46" s="336"/>
      <c r="AS46" s="336"/>
      <c r="AT46" s="346"/>
      <c r="AU46" s="346"/>
      <c r="AV46" s="341"/>
      <c r="AW46" s="341"/>
      <c r="AX46" s="26"/>
      <c r="AY46" s="26"/>
      <c r="AZ46" s="26"/>
      <c r="BA46" s="26"/>
      <c r="BB46" s="1"/>
      <c r="BC46" s="6"/>
      <c r="BD46" s="6"/>
      <c r="BE46" s="6"/>
      <c r="BG46" s="1"/>
    </row>
    <row r="47" spans="1:104" x14ac:dyDescent="0.3">
      <c r="A47" s="11"/>
      <c r="B47" s="47"/>
      <c r="C47" s="6"/>
      <c r="D47" s="6"/>
      <c r="E47" s="12"/>
      <c r="F47" s="329"/>
      <c r="G47" s="329"/>
      <c r="H47" s="341"/>
      <c r="I47" s="341"/>
      <c r="J47" s="336"/>
      <c r="K47" s="341"/>
      <c r="L47" s="336"/>
      <c r="M47" s="341"/>
      <c r="N47" s="341"/>
      <c r="O47" s="336"/>
      <c r="P47" s="341"/>
      <c r="Q47" s="336"/>
      <c r="R47" s="336"/>
      <c r="S47" s="336"/>
      <c r="T47" s="341"/>
      <c r="U47" s="341"/>
      <c r="V47" s="341"/>
      <c r="W47" s="341"/>
      <c r="X47" s="342"/>
      <c r="Y47" s="331"/>
      <c r="Z47" s="343"/>
      <c r="AA47" s="344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45"/>
      <c r="AO47" s="336"/>
      <c r="AP47" s="336"/>
      <c r="AQ47" s="336"/>
      <c r="AR47" s="336"/>
      <c r="AS47" s="336"/>
      <c r="AT47" s="346"/>
      <c r="AU47" s="346"/>
      <c r="AV47" s="341"/>
      <c r="AW47" s="341"/>
      <c r="AX47" s="26"/>
      <c r="AY47" s="26"/>
      <c r="AZ47" s="26"/>
      <c r="BA47" s="26"/>
      <c r="BB47" s="1"/>
      <c r="BC47" s="6"/>
      <c r="BD47" s="6"/>
      <c r="BE47" s="6"/>
      <c r="BG47" s="1"/>
    </row>
  </sheetData>
  <sheetProtection algorithmName="SHA-512" hashValue="XXXSBFwaWpy/iX5g67DLy+6sWQfpTJZhRtk0eifpRuM+/qYJ9VXGC/HpfExJBzM9gUaPJ6U/6bjdjJBATW0ITQ==" saltValue="EsUkLKVCFPkTbLd6TYHomQ==" spinCount="100000" sheet="1" objects="1" scenarios="1" formatCells="0" selectLockedCells="1"/>
  <mergeCells count="26">
    <mergeCell ref="F42:I42"/>
    <mergeCell ref="F43:I43"/>
    <mergeCell ref="AX6:BA6"/>
    <mergeCell ref="F39:G41"/>
    <mergeCell ref="H39:I39"/>
    <mergeCell ref="T39:T41"/>
    <mergeCell ref="U39:V39"/>
    <mergeCell ref="H40:I40"/>
    <mergeCell ref="U40:V40"/>
    <mergeCell ref="H41:I41"/>
    <mergeCell ref="U41:V41"/>
    <mergeCell ref="H6:P6"/>
    <mergeCell ref="AA3:AA6"/>
    <mergeCell ref="AN6:AS6"/>
    <mergeCell ref="AT6:AU6"/>
    <mergeCell ref="AV6:AW6"/>
    <mergeCell ref="F6:F7"/>
    <mergeCell ref="AV39:AV41"/>
    <mergeCell ref="G6:G7"/>
    <mergeCell ref="AN2:AS4"/>
    <mergeCell ref="AT2:AU4"/>
    <mergeCell ref="E2:G2"/>
    <mergeCell ref="H2:I2"/>
    <mergeCell ref="E3:G3"/>
    <mergeCell ref="H3:I3"/>
    <mergeCell ref="E4:G4"/>
  </mergeCells>
  <conditionalFormatting sqref="B7:E7 B8:F39 B40:E41 B5:F6">
    <cfRule type="expression" dxfId="53" priority="13">
      <formula>AND($C5=0,NOT($C5=""))</formula>
    </cfRule>
  </conditionalFormatting>
  <conditionalFormatting sqref="B6:F6 B7:E7 BB6:BB41 B39:F39 B40:E41 H39:H41 J39:U39 J40:S41 U40:U41 W40:AU41 AW40:BA41 F41:G41 I41 T41 V41 AV41 B8:BA38 H6:BA7 B5:BA5 W39:BA39">
    <cfRule type="expression" dxfId="52" priority="14">
      <formula>AND($C5=0,NOT($C5=""))</formula>
    </cfRule>
  </conditionalFormatting>
  <conditionalFormatting sqref="G6 BC8:BC38">
    <cfRule type="expression" dxfId="51" priority="18">
      <formula>AND($C7=0,NOT($C7=""))</formula>
    </cfRule>
  </conditionalFormatting>
  <conditionalFormatting sqref="BC38:BC41">
    <cfRule type="expression" dxfId="50" priority="19">
      <formula>AND(#REF!=0,NOT(#REF!=""))</formula>
    </cfRule>
  </conditionalFormatting>
  <conditionalFormatting sqref="W8:X41 BC8:BD41">
    <cfRule type="expression" dxfId="49" priority="10">
      <formula>$BD8=3</formula>
    </cfRule>
    <cfRule type="expression" dxfId="48" priority="11">
      <formula>$BD8=2</formula>
    </cfRule>
  </conditionalFormatting>
  <conditionalFormatting sqref="W8:W41 BC8:BD41">
    <cfRule type="expression" dxfId="47" priority="12">
      <formula>$BD8=1</formula>
    </cfRule>
  </conditionalFormatting>
  <conditionalFormatting sqref="A8:BB38">
    <cfRule type="expression" dxfId="46" priority="9">
      <formula>$R$1=TRUE</formula>
    </cfRule>
  </conditionalFormatting>
  <conditionalFormatting sqref="B1:F4">
    <cfRule type="expression" dxfId="45" priority="7">
      <formula>AND($C1=0,NOT($C1=""))</formula>
    </cfRule>
  </conditionalFormatting>
  <conditionalFormatting sqref="B1:BA4">
    <cfRule type="expression" dxfId="44" priority="8">
      <formula>AND($C1=0,NOT($C1=""))</formula>
    </cfRule>
  </conditionalFormatting>
  <conditionalFormatting sqref="B42:F42">
    <cfRule type="expression" dxfId="43" priority="4">
      <formula>AND($C42=0,NOT($C42=""))</formula>
    </cfRule>
  </conditionalFormatting>
  <conditionalFormatting sqref="BB42">
    <cfRule type="expression" dxfId="42" priority="5">
      <formula>AND($C42=0,NOT($C42=""))</formula>
    </cfRule>
  </conditionalFormatting>
  <conditionalFormatting sqref="BC42">
    <cfRule type="expression" dxfId="41" priority="6">
      <formula>AND(#REF!=0,NOT(#REF!=""))</formula>
    </cfRule>
  </conditionalFormatting>
  <conditionalFormatting sqref="BC42:BD42">
    <cfRule type="expression" dxfId="40" priority="1">
      <formula>$BD42=3</formula>
    </cfRule>
    <cfRule type="expression" dxfId="39" priority="2">
      <formula>$BD42=2</formula>
    </cfRule>
  </conditionalFormatting>
  <conditionalFormatting sqref="BC42:BD42">
    <cfRule type="expression" dxfId="38" priority="3">
      <formula>$BD42=1</formula>
    </cfRule>
  </conditionalFormatting>
  <dataValidations count="2">
    <dataValidation type="list" allowBlank="1" showInputMessage="1" showErrorMessage="1" sqref="G8:G38">
      <formula1>Code_Liste</formula1>
    </dataValidation>
    <dataValidation type="time" allowBlank="1" showInputMessage="1" showErrorMessage="1" sqref="H8:I12 K8:K12">
      <formula1>$R$6</formula1>
      <formula2>$S$6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stopIfTrue="1" id="{8ACD8713-1765-4882-A84A-5B5D51D6CFC4}">
            <xm:f>Voreinstellung_Übersicht!$R$14=3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17" stopIfTrue="1" id="{FC22A8B7-BC4A-4708-BF42-84AAF0B59B5A}">
            <xm:f>Voreinstellung_Übersicht!$R$14=2</xm:f>
            <x14:dxf>
              <fill>
                <patternFill>
                  <bgColor rgb="FFFFC000"/>
                </patternFill>
              </fill>
            </x14:dxf>
          </x14:cfRule>
          <xm:sqref>W7:X41</xm:sqref>
        </x14:conditionalFormatting>
        <x14:conditionalFormatting xmlns:xm="http://schemas.microsoft.com/office/excel/2006/main">
          <x14:cfRule type="expression" priority="15" stopIfTrue="1" id="{43F1B893-8565-4A3F-8E93-9EC73B191AFA}">
            <xm:f>Voreinstellung_Übersicht!$R$14=1</xm:f>
            <x14:dxf>
              <fill>
                <patternFill>
                  <bgColor theme="9" tint="0.59996337778862885"/>
                </patternFill>
              </fill>
            </x14:dxf>
          </x14:cfRule>
          <xm:sqref>W7:W41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6"/>
  <sheetViews>
    <sheetView topLeftCell="A4" zoomScale="80" zoomScaleNormal="80" workbookViewId="0">
      <selection activeCell="G8" sqref="G8"/>
    </sheetView>
  </sheetViews>
  <sheetFormatPr baseColWidth="10" defaultColWidth="11.42578125" defaultRowHeight="15.75" x14ac:dyDescent="0.3"/>
  <cols>
    <col min="1" max="1" width="5.5703125" customWidth="1"/>
    <col min="2" max="2" width="12.7109375" bestFit="1" customWidth="1"/>
    <col min="3" max="4" width="0" hidden="1" customWidth="1"/>
    <col min="5" max="5" width="15.7109375" style="243" customWidth="1"/>
    <col min="6" max="6" width="6.28515625" customWidth="1"/>
    <col min="7" max="7" width="6" customWidth="1"/>
    <col min="8" max="9" width="11.5703125" bestFit="1" customWidth="1"/>
    <col min="10" max="10" width="0" hidden="1" customWidth="1"/>
    <col min="11" max="11" width="11.42578125" customWidth="1"/>
    <col min="12" max="12" width="0" hidden="1" customWidth="1"/>
    <col min="13" max="14" width="11.5703125" bestFit="1" customWidth="1"/>
    <col min="15" max="15" width="0" hidden="1" customWidth="1"/>
    <col min="17" max="19" width="0" hidden="1" customWidth="1"/>
    <col min="20" max="21" width="11.5703125" bestFit="1" customWidth="1"/>
    <col min="24" max="24" width="25.7109375" customWidth="1"/>
    <col min="25" max="46" width="11.5703125" hidden="1" customWidth="1"/>
    <col min="47" max="47" width="11.42578125" hidden="1" customWidth="1"/>
    <col min="49" max="49" width="13.7109375" customWidth="1"/>
    <col min="53" max="53" width="13" customWidth="1"/>
    <col min="54" max="54" width="18.140625" customWidth="1"/>
    <col min="55" max="57" width="11.5703125" hidden="1" customWidth="1"/>
    <col min="58" max="58" width="11.5703125" style="1" hidden="1" customWidth="1"/>
  </cols>
  <sheetData>
    <row r="1" spans="1:58" s="1" customFormat="1" thickBot="1" x14ac:dyDescent="0.35">
      <c r="A1" s="26"/>
      <c r="B1" s="47"/>
      <c r="C1" s="6"/>
      <c r="D1" s="6"/>
      <c r="E1" s="12"/>
      <c r="F1" s="66"/>
      <c r="G1" s="66"/>
      <c r="H1" s="26"/>
      <c r="I1" s="26"/>
      <c r="J1" s="6"/>
      <c r="K1" s="26"/>
      <c r="L1" s="6"/>
      <c r="M1" s="26"/>
      <c r="N1" s="26"/>
      <c r="O1" s="6"/>
      <c r="P1" s="26"/>
      <c r="Q1" s="6" t="s">
        <v>123</v>
      </c>
      <c r="R1" s="315" t="b">
        <v>0</v>
      </c>
      <c r="S1" s="6"/>
      <c r="T1" s="26"/>
      <c r="U1" s="26"/>
      <c r="V1" s="26"/>
      <c r="W1" s="26"/>
      <c r="X1" s="48"/>
      <c r="Y1" s="7"/>
      <c r="Z1" s="8"/>
      <c r="AA1" s="17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3"/>
      <c r="AO1" s="6"/>
      <c r="AP1" s="6"/>
      <c r="AQ1" s="6"/>
      <c r="AR1" s="6"/>
      <c r="AS1" s="6"/>
      <c r="AT1" s="14"/>
      <c r="AU1" s="14"/>
      <c r="AV1" s="26"/>
      <c r="AW1" s="26"/>
      <c r="AX1" s="26"/>
      <c r="AY1" s="26"/>
      <c r="AZ1" s="26"/>
      <c r="BA1" s="26"/>
      <c r="BC1" s="6"/>
      <c r="BD1" s="6"/>
      <c r="BE1" s="6"/>
    </row>
    <row r="2" spans="1:58" s="1" customFormat="1" ht="16.5" customHeight="1" x14ac:dyDescent="0.3">
      <c r="A2" s="26"/>
      <c r="B2" s="71" t="s">
        <v>1</v>
      </c>
      <c r="C2" s="222" t="str">
        <f>Name</f>
        <v>Max Mustermann</v>
      </c>
      <c r="D2" s="222"/>
      <c r="E2" s="466" t="str">
        <f>C2</f>
        <v>Max Mustermann</v>
      </c>
      <c r="F2" s="466"/>
      <c r="G2" s="466"/>
      <c r="H2" s="471" t="s">
        <v>7</v>
      </c>
      <c r="I2" s="471"/>
      <c r="J2" s="222"/>
      <c r="K2" s="69">
        <f>Personalnummer</f>
        <v>123456789</v>
      </c>
      <c r="L2" s="219"/>
      <c r="M2" s="26"/>
      <c r="N2" s="26"/>
      <c r="O2" s="219"/>
      <c r="P2" s="26"/>
      <c r="Q2" s="219"/>
      <c r="R2" s="219"/>
      <c r="S2" s="219"/>
      <c r="T2" s="26"/>
      <c r="U2" s="26"/>
      <c r="V2" s="26"/>
      <c r="W2" s="26"/>
      <c r="X2" s="48"/>
      <c r="Y2" s="221"/>
      <c r="Z2" s="295"/>
      <c r="AA2" s="296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474"/>
      <c r="AO2" s="474"/>
      <c r="AP2" s="474"/>
      <c r="AQ2" s="474"/>
      <c r="AR2" s="474"/>
      <c r="AS2" s="474"/>
      <c r="AT2" s="470" t="s">
        <v>124</v>
      </c>
      <c r="AU2" s="470"/>
      <c r="AV2" s="26"/>
      <c r="AW2" s="26"/>
      <c r="AX2" s="26"/>
      <c r="AY2" s="26"/>
      <c r="AZ2" s="26"/>
      <c r="BA2" s="26"/>
      <c r="BB2" s="29"/>
      <c r="BC2" s="219"/>
      <c r="BD2" s="219"/>
      <c r="BE2" s="219"/>
    </row>
    <row r="3" spans="1:58" s="1" customFormat="1" ht="16.5" customHeight="1" x14ac:dyDescent="0.3">
      <c r="A3" s="26"/>
      <c r="B3" s="72" t="s">
        <v>125</v>
      </c>
      <c r="C3" s="223">
        <f>Jahr</f>
        <v>42004</v>
      </c>
      <c r="D3" s="223"/>
      <c r="E3" s="468">
        <f>Jahr</f>
        <v>42004</v>
      </c>
      <c r="F3" s="468"/>
      <c r="G3" s="468"/>
      <c r="H3" s="472" t="s">
        <v>5</v>
      </c>
      <c r="I3" s="472"/>
      <c r="J3" s="224"/>
      <c r="K3" s="70">
        <f>Geburtstag</f>
        <v>16833</v>
      </c>
      <c r="L3" s="219"/>
      <c r="M3" s="26"/>
      <c r="N3" s="26"/>
      <c r="O3" s="219"/>
      <c r="P3" s="26"/>
      <c r="Q3" s="219"/>
      <c r="R3" s="219"/>
      <c r="S3" s="219"/>
      <c r="T3" s="26"/>
      <c r="U3" s="26"/>
      <c r="V3" s="26"/>
      <c r="W3" s="26"/>
      <c r="X3" s="48"/>
      <c r="Y3" s="221"/>
      <c r="Z3" s="295"/>
      <c r="AA3" s="475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474"/>
      <c r="AO3" s="474"/>
      <c r="AP3" s="474"/>
      <c r="AQ3" s="474"/>
      <c r="AR3" s="474"/>
      <c r="AS3" s="474"/>
      <c r="AT3" s="470"/>
      <c r="AU3" s="470"/>
      <c r="AV3" s="26"/>
      <c r="AW3" s="26"/>
      <c r="AX3" s="26"/>
      <c r="AY3" s="26"/>
      <c r="AZ3" s="26"/>
      <c r="BA3" s="26"/>
      <c r="BB3" s="29"/>
      <c r="BC3" s="219"/>
      <c r="BD3" s="219"/>
      <c r="BE3" s="219"/>
    </row>
    <row r="4" spans="1:58" s="1" customFormat="1" ht="16.5" customHeight="1" thickBot="1" x14ac:dyDescent="0.35">
      <c r="A4" s="26"/>
      <c r="B4" s="322" t="s">
        <v>126</v>
      </c>
      <c r="C4" s="323">
        <f>Jahr</f>
        <v>42004</v>
      </c>
      <c r="D4" s="323"/>
      <c r="E4" s="467">
        <f>B8</f>
        <v>42338</v>
      </c>
      <c r="F4" s="467"/>
      <c r="G4" s="467"/>
      <c r="H4" s="324"/>
      <c r="I4" s="324"/>
      <c r="J4" s="325"/>
      <c r="K4" s="326"/>
      <c r="L4" s="219"/>
      <c r="M4" s="26"/>
      <c r="N4" s="26"/>
      <c r="O4" s="219"/>
      <c r="P4" s="26"/>
      <c r="Q4" s="219"/>
      <c r="R4" s="219"/>
      <c r="S4" s="219"/>
      <c r="T4" s="26"/>
      <c r="U4" s="26"/>
      <c r="V4" s="26"/>
      <c r="W4" s="26"/>
      <c r="X4" s="48"/>
      <c r="Y4" s="221"/>
      <c r="Z4" s="295"/>
      <c r="AA4" s="475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474"/>
      <c r="AO4" s="474"/>
      <c r="AP4" s="474"/>
      <c r="AQ4" s="474"/>
      <c r="AR4" s="474"/>
      <c r="AS4" s="474"/>
      <c r="AT4" s="470"/>
      <c r="AU4" s="470"/>
      <c r="AV4" s="26"/>
      <c r="AW4" s="26"/>
      <c r="AX4" s="26"/>
      <c r="AY4" s="26"/>
      <c r="AZ4" s="26"/>
      <c r="BA4" s="26"/>
      <c r="BB4" s="29"/>
      <c r="BC4" s="219"/>
      <c r="BD4" s="219"/>
      <c r="BE4" s="219"/>
    </row>
    <row r="5" spans="1:58" s="1" customFormat="1" ht="15" x14ac:dyDescent="0.3">
      <c r="A5" s="26"/>
      <c r="B5" s="73"/>
      <c r="C5" s="225"/>
      <c r="D5" s="225"/>
      <c r="E5" s="67"/>
      <c r="F5" s="67"/>
      <c r="G5" s="67"/>
      <c r="H5" s="68"/>
      <c r="I5" s="68"/>
      <c r="J5" s="226"/>
      <c r="K5" s="68"/>
      <c r="L5" s="219"/>
      <c r="M5" s="26"/>
      <c r="N5" s="26"/>
      <c r="O5" s="219"/>
      <c r="P5" s="26"/>
      <c r="Q5" s="219"/>
      <c r="R5" s="219"/>
      <c r="S5" s="219"/>
      <c r="T5" s="26"/>
      <c r="U5" s="26"/>
      <c r="V5" s="26"/>
      <c r="W5" s="26"/>
      <c r="X5" s="48"/>
      <c r="Y5" s="221"/>
      <c r="Z5" s="295"/>
      <c r="AA5" s="475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73"/>
      <c r="AO5" s="273"/>
      <c r="AP5" s="273"/>
      <c r="AQ5" s="273"/>
      <c r="AR5" s="273"/>
      <c r="AS5" s="273"/>
      <c r="AT5" s="272"/>
      <c r="AU5" s="272"/>
      <c r="AV5" s="26"/>
      <c r="AW5" s="26"/>
      <c r="AX5" s="26"/>
      <c r="AY5" s="26"/>
      <c r="AZ5" s="26"/>
      <c r="BA5" s="26"/>
      <c r="BB5" s="29"/>
      <c r="BC5" s="219"/>
      <c r="BD5" s="219"/>
      <c r="BE5" s="219"/>
    </row>
    <row r="6" spans="1:58" s="1" customFormat="1" ht="27.6" customHeight="1" x14ac:dyDescent="0.3">
      <c r="A6" s="227"/>
      <c r="B6" s="86"/>
      <c r="C6" s="228" t="s">
        <v>127</v>
      </c>
      <c r="D6" s="228" t="s">
        <v>81</v>
      </c>
      <c r="E6" s="297"/>
      <c r="F6" s="465" t="s">
        <v>128</v>
      </c>
      <c r="G6" s="476" t="s">
        <v>129</v>
      </c>
      <c r="H6" s="462" t="s">
        <v>130</v>
      </c>
      <c r="I6" s="464"/>
      <c r="J6" s="464"/>
      <c r="K6" s="464"/>
      <c r="L6" s="464"/>
      <c r="M6" s="464"/>
      <c r="N6" s="464"/>
      <c r="O6" s="464"/>
      <c r="P6" s="464"/>
      <c r="Q6" s="228" t="s">
        <v>131</v>
      </c>
      <c r="R6" s="228">
        <v>0</v>
      </c>
      <c r="S6" s="228">
        <v>1</v>
      </c>
      <c r="T6" s="84"/>
      <c r="U6" s="84"/>
      <c r="V6" s="84"/>
      <c r="W6" s="85"/>
      <c r="X6" s="291"/>
      <c r="Y6" s="221"/>
      <c r="Z6" s="295"/>
      <c r="AA6" s="475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473" t="s">
        <v>82</v>
      </c>
      <c r="AO6" s="473"/>
      <c r="AP6" s="473"/>
      <c r="AQ6" s="473"/>
      <c r="AR6" s="473"/>
      <c r="AS6" s="473"/>
      <c r="AT6" s="469" t="s">
        <v>70</v>
      </c>
      <c r="AU6" s="469"/>
      <c r="AV6" s="462" t="s">
        <v>105</v>
      </c>
      <c r="AW6" s="463"/>
      <c r="AX6" s="462" t="s">
        <v>132</v>
      </c>
      <c r="AY6" s="464"/>
      <c r="AZ6" s="464"/>
      <c r="BA6" s="465"/>
      <c r="BB6" s="211" t="s">
        <v>133</v>
      </c>
      <c r="BC6" s="219" t="s">
        <v>134</v>
      </c>
      <c r="BD6" s="219"/>
      <c r="BE6" s="219"/>
    </row>
    <row r="7" spans="1:58" s="290" customFormat="1" ht="39" customHeight="1" x14ac:dyDescent="0.25">
      <c r="A7" s="279" t="s">
        <v>135</v>
      </c>
      <c r="B7" s="274" t="s">
        <v>80</v>
      </c>
      <c r="C7" s="281"/>
      <c r="D7" s="281"/>
      <c r="E7" s="241" t="s">
        <v>136</v>
      </c>
      <c r="F7" s="478"/>
      <c r="G7" s="477"/>
      <c r="H7" s="275" t="s">
        <v>137</v>
      </c>
      <c r="I7" s="276" t="s">
        <v>138</v>
      </c>
      <c r="J7" s="282" t="s">
        <v>139</v>
      </c>
      <c r="K7" s="277" t="s">
        <v>140</v>
      </c>
      <c r="L7" s="281" t="s">
        <v>141</v>
      </c>
      <c r="M7" s="275" t="s">
        <v>142</v>
      </c>
      <c r="N7" s="276" t="s">
        <v>143</v>
      </c>
      <c r="O7" s="282" t="s">
        <v>144</v>
      </c>
      <c r="P7" s="277" t="s">
        <v>145</v>
      </c>
      <c r="Q7" s="281" t="s">
        <v>146</v>
      </c>
      <c r="R7" s="281" t="s">
        <v>147</v>
      </c>
      <c r="S7" s="281" t="s">
        <v>148</v>
      </c>
      <c r="T7" s="211" t="s">
        <v>149</v>
      </c>
      <c r="U7" s="211" t="s">
        <v>150</v>
      </c>
      <c r="V7" s="275" t="s">
        <v>151</v>
      </c>
      <c r="W7" s="278" t="s">
        <v>152</v>
      </c>
      <c r="X7" s="278" t="s">
        <v>153</v>
      </c>
      <c r="Y7" s="283" t="s">
        <v>154</v>
      </c>
      <c r="Z7" s="284" t="s">
        <v>155</v>
      </c>
      <c r="AA7" s="285" t="s">
        <v>134</v>
      </c>
      <c r="AB7" s="286" t="s">
        <v>49</v>
      </c>
      <c r="AC7" s="286" t="s">
        <v>59</v>
      </c>
      <c r="AD7" s="286" t="s">
        <v>57</v>
      </c>
      <c r="AE7" s="286" t="s">
        <v>55</v>
      </c>
      <c r="AF7" s="286" t="s">
        <v>156</v>
      </c>
      <c r="AG7" s="286" t="s">
        <v>157</v>
      </c>
      <c r="AH7" s="286" t="s">
        <v>61</v>
      </c>
      <c r="AI7" s="286" t="s">
        <v>65</v>
      </c>
      <c r="AJ7" s="286" t="s">
        <v>74</v>
      </c>
      <c r="AK7" s="286" t="s">
        <v>76</v>
      </c>
      <c r="AL7" s="286" t="s">
        <v>158</v>
      </c>
      <c r="AM7" s="286" t="s">
        <v>78</v>
      </c>
      <c r="AN7" s="287" t="s">
        <v>159</v>
      </c>
      <c r="AO7" s="286" t="s">
        <v>160</v>
      </c>
      <c r="AP7" s="286" t="s">
        <v>81</v>
      </c>
      <c r="AQ7" s="286" t="s">
        <v>161</v>
      </c>
      <c r="AR7" s="286" t="s">
        <v>162</v>
      </c>
      <c r="AS7" s="286" t="s">
        <v>39</v>
      </c>
      <c r="AT7" s="288" t="s">
        <v>163</v>
      </c>
      <c r="AU7" s="288" t="s">
        <v>164</v>
      </c>
      <c r="AV7" s="279" t="s">
        <v>165</v>
      </c>
      <c r="AW7" s="280" t="s">
        <v>166</v>
      </c>
      <c r="AX7" s="279" t="s">
        <v>38</v>
      </c>
      <c r="AY7" s="241" t="s">
        <v>39</v>
      </c>
      <c r="AZ7" s="241" t="s">
        <v>81</v>
      </c>
      <c r="BA7" s="280" t="s">
        <v>167</v>
      </c>
      <c r="BB7" s="280" t="s">
        <v>167</v>
      </c>
      <c r="BC7" s="289" t="s">
        <v>165</v>
      </c>
      <c r="BD7" s="289" t="s">
        <v>168</v>
      </c>
      <c r="BE7" s="289" t="s">
        <v>169</v>
      </c>
      <c r="BF7" s="290" t="s">
        <v>170</v>
      </c>
    </row>
    <row r="8" spans="1:58" s="1" customFormat="1" ht="15" x14ac:dyDescent="0.3">
      <c r="A8" s="218">
        <f t="shared" ref="A8:A38" si="0">WEEKNUM(B8)</f>
        <v>49</v>
      </c>
      <c r="B8" s="47">
        <f>Nov!B37+1</f>
        <v>42338</v>
      </c>
      <c r="C8" s="219">
        <f t="shared" ref="C8:C38" si="1">NETWORKDAYS(B8,B8,Feiertage)</f>
        <v>0</v>
      </c>
      <c r="D8" s="220" t="str">
        <f t="shared" ref="D8:D38" si="2">IF(ISERROR(VLOOKUP(B8,Feiertage_ganz,4,FALSE)),"",(VLOOKUP(B8,Feiertage_ganz,4,FALSE)))</f>
        <v/>
      </c>
      <c r="E8" s="298" t="str">
        <f t="shared" ref="E8:E38" si="3">D8</f>
        <v/>
      </c>
      <c r="F8" s="87">
        <f t="shared" ref="F8:F38" si="4">B8</f>
        <v>42338</v>
      </c>
      <c r="G8" s="147"/>
      <c r="H8" s="214"/>
      <c r="I8" s="75"/>
      <c r="J8" s="221">
        <f t="shared" ref="J8:J38" si="5">I8-H8</f>
        <v>0</v>
      </c>
      <c r="K8" s="76"/>
      <c r="L8" s="221">
        <f>IF(J8-K8&gt;Pause_9,Pause_9p,IF(J8-K8&gt;Pause_6,Pause_6p,0))</f>
        <v>0</v>
      </c>
      <c r="M8" s="74"/>
      <c r="N8" s="75"/>
      <c r="O8" s="221">
        <f t="shared" ref="O8:O38" si="6">N8-M8</f>
        <v>0</v>
      </c>
      <c r="P8" s="76"/>
      <c r="Q8" s="221">
        <f>IF(O8-P8&gt;Pause_9,Pause_9p,IF(O8-P8&gt;Pause_6,Pause_6p,0))</f>
        <v>0</v>
      </c>
      <c r="R8" s="221">
        <f>IF(J8+O8-K8-P8&gt;Pause_9,Pause_9p,IF(J8+O8-K8-P8&gt;Pause_6,Pause_6p,0))</f>
        <v>0</v>
      </c>
      <c r="S8" s="221">
        <f t="shared" ref="S8:S38" si="7">IF(M8&gt;I8,IF(M8-I8+K8+P8&gt;=R8,K8+P8,R8),IF(K8+P8&gt;=R8,K8+P8,R8))</f>
        <v>0</v>
      </c>
      <c r="T8" s="79">
        <f t="shared" ref="T8:T38" si="8">IF(I8&lt;=M8,I8-H8+N8-M8,IF(I8&lt;=N8,N8-H8,I8-H8))</f>
        <v>0</v>
      </c>
      <c r="U8" s="79">
        <f>ROUND(T8-S8,10)</f>
        <v>0</v>
      </c>
      <c r="V8" s="80">
        <f t="shared" ref="V8:V38" ca="1" si="9">ROUND(IF(AND(D8&lt;&gt;"",G8=""),IF(ISERROR(VLOOKUP(B8,Feiertage,3,FALSE)),0,Z8),IF(B8="",0,IF(G8&lt;&gt;"",IF(UPPER(G8)=VLOOKUP(UPPER(G8),Code,1,FALSE),VLOOKUP(G8,Code,2,FALSE)*Z8,Z8),Z8))),10)</f>
        <v>0</v>
      </c>
      <c r="W8" s="249" t="str">
        <f t="shared" ref="W8:W38" ca="1" si="10">IF(OR(AND(VLOOKUP(UPPER(G8),Code,3,FALSE)=2,U8&gt;V8),AND(I8&lt;&gt;0,B8&lt;&gt;"",G8=""),VLOOKUP(UPPER(G8),Code,3,FALSE)=1),U8-V8,"")</f>
        <v/>
      </c>
      <c r="X8" s="292"/>
      <c r="Y8" s="221">
        <f t="shared" ref="Y8:Y38" si="11">IF(G8&lt;&gt;"",IF(VLOOKUP(G8,Code,2,FALSE)=2,U8,IF(AND(VLOOKUP(G8,Code,2,FALSE)=1,U8&gt;Z8),U8,0)),0)</f>
        <v>0</v>
      </c>
      <c r="Z8" s="299">
        <f ca="1">IF(B8="","",INDIRECT(ADDRESS(MATCH(B8,Soll_AZ,1)+MATCH("Arbeitszeit 1 ab",Voreinstellung_Übersicht!B:B,0)-1,WEEKDAY(B8,2)+4,,,"Voreinstellung_Übersicht"),TRUE))</f>
        <v>0</v>
      </c>
      <c r="AA8" s="300">
        <f ca="1">IF(W8="",Übertrag_Mehrarbeit,Übertrag_Mehrarbeit+W8)</f>
        <v>0</v>
      </c>
      <c r="AB8" s="219">
        <f t="shared" ref="AB8:AB38" si="12">IF(AND($G8&lt;&gt;0,IF(ISERROR(VLOOKUP($G8,Code,1,FALSE)),FALSE,VLOOKUP($G8,Code,1,FALSE)="U"),$C8=1),1,0)</f>
        <v>0</v>
      </c>
      <c r="AC8" s="219">
        <f t="shared" ref="AC8:AC38" si="13">IF(AND($G8&lt;&gt;0,IF(ISERROR(VLOOKUP($G8,Code,1,FALSE)),FALSE,VLOOKUP($G8,Code,1,FALSE))="WB"),1,0)</f>
        <v>0</v>
      </c>
      <c r="AD8" s="219">
        <f t="shared" ref="AD8:AD38" si="14">IF(AND($G8&lt;&gt;0,IF(ISERROR(VLOOKUP($G8,Code,1,FALSE)),FALSE,VLOOKUP($G8,Code,1,FALSE))="DR",$C8=1),1,0)</f>
        <v>0</v>
      </c>
      <c r="AE8" s="219">
        <f t="shared" ref="AE8:AE38" si="15">IF(AND($G8&lt;&gt;0,IF(ISERROR(VLOOKUP($G8,Code,1,FALSE)),FALSE,VLOOKUP($G8,Code,1,FALSE))="KK",$C8=1),1,0)</f>
        <v>0</v>
      </c>
      <c r="AF8" s="219">
        <f t="shared" ref="AF8:AF38" si="16">IF(AND($G8&lt;&gt;0,IF(ISERROR(VLOOKUP($G8,Code,1,FALSE)),FALSE,VLOOKUP($G8,Code,1,FALSE))="K",$C8=1),1,0)</f>
        <v>0</v>
      </c>
      <c r="AG8" s="219">
        <f t="shared" ref="AG8:AG38" si="17">IF(AND($G8&lt;&gt;0,IF(ISERROR(VLOOKUP($G8,Code,1,FALSE)),FALSE,VLOOKUP($G8,Code,1,FALSE))="KZT"),1,0)</f>
        <v>0</v>
      </c>
      <c r="AH8" s="219">
        <f t="shared" ref="AH8:AH38" si="18">IF(AND($G8&lt;&gt;0,IF(ISERROR(VLOOKUP($G8,Code,1,FALSE)),FALSE,VLOOKUP($G8,Code,1,FALSE))="mEG",$C8=1),1,0)</f>
        <v>0</v>
      </c>
      <c r="AI8" s="219">
        <f t="shared" ref="AI8:AI38" si="19">IF(AND($G8&lt;&gt;0,IF(ISERROR(VLOOKUP($G8,Code,1,FALSE)),FALSE,VLOOKUP($G8,Code,1,FALSE))="Ku"),1,0)</f>
        <v>0</v>
      </c>
      <c r="AJ8" s="219">
        <f t="shared" ref="AJ8:AJ38" si="20">IF(AND($G8&lt;&gt;0,IF(ISERROR(VLOOKUP($G8,Code,1,FALSE)),FALSE,VLOOKUP($G8,Code,1,FALSE))="§29(1)",$C8=1),1,0)</f>
        <v>0</v>
      </c>
      <c r="AK8" s="219">
        <f t="shared" ref="AK8:AK38" si="21">IF(AND($G8&lt;&gt;0,IF(ISERROR(VLOOKUP($G8,Code,1,FALSE)),FALSE,VLOOKUP($G8,Code,1,FALSE))="§29(2)",$C8=1),1,0)</f>
        <v>0</v>
      </c>
      <c r="AL8" s="219">
        <f t="shared" ref="AL8:AL38" si="22">IF(AND($G8&lt;&gt;0,IF(ISERROR(VLOOKUP($G8,Code,1,FALSE)),FALSE,VLOOKUP($G8,Code,1,FALSE))="§29(3)",$C8=1),1,0)</f>
        <v>0</v>
      </c>
      <c r="AM8" s="219">
        <f t="shared" ref="AM8:AM38" si="23">IF(AND($G8&lt;&gt;0,IF(ISERROR(VLOOKUP($G8,Code,1,FALSE)),FALSE,VLOOKUP($G8,Code,1,FALSE))="§29(4)",$C8=1),1,0)</f>
        <v>0</v>
      </c>
      <c r="AN8" s="301">
        <f t="shared" ref="AN8:AN38" si="24">IF(OR(AND(H8&lt;Nacht_6,I8-K8&lt;=Nacht_6),AND(I8&gt;Nacht_22,H8+K8&gt;=Nacht_22)),I8-H8-K8,IF(H8&lt;Nacht_6,IF(I8&gt;Nacht_22,Nacht_6-H8+I8-Nacht_22,Nacht_6-H8),IF(I8&gt;Nacht_22,I8-Nacht_22,0)))</f>
        <v>0</v>
      </c>
      <c r="AO8" s="301">
        <f t="shared" ref="AO8:AO38" si="25">IF(OR(AND(M8&lt;Nacht_6,N8-P8&lt;=Nacht_6),AND(N8&gt;Nacht_22,M8+P8&gt;=Nacht_22)),N8-M8-P8,IF(M8&lt;Nacht_6,IF(N8&gt;Nacht_22,Nacht_6-M8+N8-Nacht_22,Nacht_6-M8),IF(N8&gt;Nacht_22,N8-Nacht_22,0)))</f>
        <v>0</v>
      </c>
      <c r="AP8" s="301">
        <f t="shared" ref="AP8:AP38" si="26">IF(ISERROR(VLOOKUP(B8,Feiertage_ganz,3,FALSE)),0,IF(VLOOKUP(B8,Feiertage_ganz,3,FALSE)=1,U8,0))</f>
        <v>0</v>
      </c>
      <c r="AQ8" s="301">
        <f t="shared" ref="AQ8:AQ38" si="27">IF(OR(I8&lt;=Samstagszuschlag,H8&gt;=Nacht_22),0,IF(H8&lt;=Samstagszuschlag,IF(I8&lt;=Nacht_22,I8-Samstagszuschlag,Nacht_22-Samstagszuschlag),IF(I8&lt;=Nacht_22,I8-H8,Nacht_22-H8)))</f>
        <v>0</v>
      </c>
      <c r="AR8" s="301">
        <f t="shared" ref="AR8:AR38" si="28">IF(OR(N8&lt;=Samstagszuschlag,M8&lt;=Nacht_22),0,IF(M8&lt;=Samstagszuschlag,IF(N8&lt;=Nacht_22,N8-Samstagszuschlag,Nacht_22-Samstagszuschlag),IF(N8&lt;=Nacht_22,N8-M8,Nacht_22-M8)))</f>
        <v>0</v>
      </c>
      <c r="AS8" s="301">
        <f t="shared" ref="AS8:AS38" si="29">IF(WEEKDAY(B8,2)=7,U8,0)</f>
        <v>0</v>
      </c>
      <c r="AT8" s="302">
        <f t="shared" ref="AT8:AT38" si="30">IF(ISERROR(VLOOKUP(G8,Code_Liste,1,FALSE)),0,I8-H8)</f>
        <v>0</v>
      </c>
      <c r="AU8" s="302">
        <f t="shared" ref="AU8:AU38" si="31">IF(ISERROR(VLOOKUP(G8,Code_Liste,1,FALSE)),0,N8-M8)</f>
        <v>0</v>
      </c>
      <c r="AV8" s="81">
        <f t="shared" ref="AV8:AV38" si="32">SUM(AN8:AO8)</f>
        <v>0</v>
      </c>
      <c r="AW8" s="82">
        <f t="shared" ref="AW8:AW38" si="33">AV8*Zuschlag_Nacht/100</f>
        <v>0</v>
      </c>
      <c r="AX8" s="81">
        <f t="shared" ref="AX8:AX38" si="34">IF(WEEKDAY(B8,2)=6,AQ8+AR8,0)</f>
        <v>0</v>
      </c>
      <c r="AY8" s="83">
        <f t="shared" ref="AY8:AY38" si="35">AS8</f>
        <v>0</v>
      </c>
      <c r="AZ8" s="83">
        <f t="shared" ref="AZ8:AZ38" si="36">AP8</f>
        <v>0</v>
      </c>
      <c r="BA8" s="82">
        <f>IF(OR(B8=Feiertage!$A$16,B8=Feiertage!$A$19),U8*Zuschläge_24_31/100,IF(AZ8&gt;0,AZ8*Feiertag_mit/100,IF(AX8&gt;0,AX8*Zuschläge_Sa/100,IF(AY8&gt;0,AY8*Zuschlag_So/100,0))))</f>
        <v>0</v>
      </c>
      <c r="BB8" s="82">
        <f>IF(AND(B8&lt;&gt;0,G8=Voreinstellung_Übersicht!$D$41),IF(EG=1,W8*Über_klein/100,IF(EG=2,W8*Über_groß/100,"Fehler")),0)</f>
        <v>0</v>
      </c>
      <c r="BC8" s="299">
        <f ca="1">Nov!BC39</f>
        <v>0</v>
      </c>
      <c r="BD8" s="219">
        <f t="shared" ref="BD8:BD38" ca="1" si="37">IF(OR(AND(BC8&gt;=0,BC8&lt;=(grün_plus*BE8/100%)),AND(BC8&lt;=0,BC8&gt;=(grün_minus*BE8/100%))),1,IF(OR(AND(BC8&gt;0,BC8&lt;=(gelb_plus*BE8/100%)),AND(BC8&lt;0,BC8&gt;=(gelb_minus*BE8/100%))),2,3))</f>
        <v>1</v>
      </c>
      <c r="BE8" s="303">
        <f ca="1">IF(B8="","",INDIRECT(ADDRESS(MATCH(B8,Soll_AZ,1)+MATCH("Arbeitszeit 1 ab",Voreinstellung_Übersicht!B:B,0)-1,4,,,"Voreinstellung_Übersicht"),TRUE))</f>
        <v>1.6666666666666665</v>
      </c>
      <c r="BF8" s="1">
        <f>IF(OR(G8="WB",G8="DR",U8&gt;0),1,0)</f>
        <v>0</v>
      </c>
    </row>
    <row r="9" spans="1:58" s="1" customFormat="1" ht="15" x14ac:dyDescent="0.3">
      <c r="A9" s="218">
        <f t="shared" si="0"/>
        <v>49</v>
      </c>
      <c r="B9" s="47">
        <f t="shared" ref="B9:B38" si="38">B8+1</f>
        <v>42339</v>
      </c>
      <c r="C9" s="219">
        <f t="shared" si="1"/>
        <v>1</v>
      </c>
      <c r="D9" s="220" t="str">
        <f t="shared" si="2"/>
        <v/>
      </c>
      <c r="E9" s="298" t="str">
        <f t="shared" si="3"/>
        <v/>
      </c>
      <c r="F9" s="87">
        <f t="shared" si="4"/>
        <v>42339</v>
      </c>
      <c r="G9" s="147"/>
      <c r="H9" s="74"/>
      <c r="I9" s="75"/>
      <c r="J9" s="221">
        <f t="shared" si="5"/>
        <v>0</v>
      </c>
      <c r="K9" s="76"/>
      <c r="L9" s="221">
        <f>IF(J9-K9&gt;Pause_9,Pause_9p,IF(J9-K9&gt;Pause_6,Pause_6p,0))</f>
        <v>0</v>
      </c>
      <c r="M9" s="74"/>
      <c r="N9" s="75"/>
      <c r="O9" s="221">
        <f t="shared" si="6"/>
        <v>0</v>
      </c>
      <c r="P9" s="76"/>
      <c r="Q9" s="221">
        <f>IF(O9-P9&gt;Pause_9,Pause_9p,IF(O9-P9&gt;Pause_6,Pause_6p,0))</f>
        <v>0</v>
      </c>
      <c r="R9" s="221">
        <f>IF(J9+O9-K9-P9&gt;Pause_9,Pause_9p,IF(J9+O9-K9-P9&gt;Pause_6,Pause_6p,0))</f>
        <v>0</v>
      </c>
      <c r="S9" s="221">
        <f t="shared" si="7"/>
        <v>0</v>
      </c>
      <c r="T9" s="79">
        <f t="shared" si="8"/>
        <v>0</v>
      </c>
      <c r="U9" s="79">
        <f t="shared" ref="U9:U38" si="39">ROUND(T9-S9,10)</f>
        <v>0</v>
      </c>
      <c r="V9" s="80">
        <f t="shared" ca="1" si="9"/>
        <v>0.33333333329999998</v>
      </c>
      <c r="W9" s="249" t="str">
        <f t="shared" ca="1" si="10"/>
        <v/>
      </c>
      <c r="X9" s="293"/>
      <c r="Y9" s="221">
        <f t="shared" si="11"/>
        <v>0</v>
      </c>
      <c r="Z9" s="299">
        <f ca="1">IF(B9="","",INDIRECT(ADDRESS(MATCH(B9,Soll_AZ,1)+MATCH("Arbeitszeit 1 ab",Voreinstellung_Übersicht!B:B,0)-1,WEEKDAY(B9,2)+4,,,"Voreinstellung_Übersicht"),TRUE))</f>
        <v>0.33333333333333331</v>
      </c>
      <c r="AA9" s="300">
        <f t="shared" ref="AA9:AA38" ca="1" si="40">IF(W9="",AA8,AA8+W9)</f>
        <v>0</v>
      </c>
      <c r="AB9" s="219">
        <f t="shared" si="12"/>
        <v>0</v>
      </c>
      <c r="AC9" s="219">
        <f t="shared" si="13"/>
        <v>0</v>
      </c>
      <c r="AD9" s="219">
        <f t="shared" si="14"/>
        <v>0</v>
      </c>
      <c r="AE9" s="219">
        <f t="shared" si="15"/>
        <v>0</v>
      </c>
      <c r="AF9" s="219">
        <f t="shared" si="16"/>
        <v>0</v>
      </c>
      <c r="AG9" s="219">
        <f t="shared" si="17"/>
        <v>0</v>
      </c>
      <c r="AH9" s="219">
        <f t="shared" si="18"/>
        <v>0</v>
      </c>
      <c r="AI9" s="219">
        <f t="shared" si="19"/>
        <v>0</v>
      </c>
      <c r="AJ9" s="219">
        <f t="shared" si="20"/>
        <v>0</v>
      </c>
      <c r="AK9" s="219">
        <f t="shared" si="21"/>
        <v>0</v>
      </c>
      <c r="AL9" s="219">
        <f t="shared" si="22"/>
        <v>0</v>
      </c>
      <c r="AM9" s="219">
        <f t="shared" si="23"/>
        <v>0</v>
      </c>
      <c r="AN9" s="301">
        <f t="shared" si="24"/>
        <v>0</v>
      </c>
      <c r="AO9" s="301">
        <f t="shared" si="25"/>
        <v>0</v>
      </c>
      <c r="AP9" s="301">
        <f t="shared" si="26"/>
        <v>0</v>
      </c>
      <c r="AQ9" s="301">
        <f t="shared" si="27"/>
        <v>0</v>
      </c>
      <c r="AR9" s="301">
        <f t="shared" si="28"/>
        <v>0</v>
      </c>
      <c r="AS9" s="301">
        <f t="shared" si="29"/>
        <v>0</v>
      </c>
      <c r="AT9" s="302">
        <f t="shared" si="30"/>
        <v>0</v>
      </c>
      <c r="AU9" s="302">
        <f t="shared" si="31"/>
        <v>0</v>
      </c>
      <c r="AV9" s="81">
        <f t="shared" si="32"/>
        <v>0</v>
      </c>
      <c r="AW9" s="82">
        <f t="shared" si="33"/>
        <v>0</v>
      </c>
      <c r="AX9" s="81">
        <f t="shared" si="34"/>
        <v>0</v>
      </c>
      <c r="AY9" s="83">
        <f t="shared" si="35"/>
        <v>0</v>
      </c>
      <c r="AZ9" s="83">
        <f t="shared" si="36"/>
        <v>0</v>
      </c>
      <c r="BA9" s="82">
        <f>IF(OR(B9=Feiertage!$A$16,B9=Feiertage!$A$19),U9*Zuschläge_24_31/100,IF(AZ9&gt;0,AZ9*Feiertag_mit/100,IF(AX9&gt;0,AX9*Zuschläge_Sa/100,IF(AY9&gt;0,AY9*Zuschlag_So/100,0))))</f>
        <v>0</v>
      </c>
      <c r="BB9" s="82">
        <f>IF(AND(B9&lt;&gt;0,G9=Voreinstellung_Übersicht!$D$41),IF(EG=1,W9*Über_klein/100,IF(EG=2,W9*Über_groß/100,"Fehler")),0)</f>
        <v>0</v>
      </c>
      <c r="BC9" s="299">
        <f t="shared" ref="BC9:BC38" ca="1" si="41">IF(W9="",BC8,BC8+W9)</f>
        <v>0</v>
      </c>
      <c r="BD9" s="219">
        <f t="shared" ca="1" si="37"/>
        <v>1</v>
      </c>
      <c r="BE9" s="303">
        <f ca="1">IF(B9="","",INDIRECT(ADDRESS(MATCH(B9,Soll_AZ,1)+MATCH("Arbeitszeit 1 ab",Voreinstellung_Übersicht!B:B,0)-1,4,,,"Voreinstellung_Übersicht"),TRUE))</f>
        <v>1.6666666666666665</v>
      </c>
      <c r="BF9" s="1">
        <f t="shared" ref="BF9:BF38" si="42">IF(OR(G9="WB",G9="DR",U9&gt;0),1,0)</f>
        <v>0</v>
      </c>
    </row>
    <row r="10" spans="1:58" s="1" customFormat="1" ht="15" x14ac:dyDescent="0.3">
      <c r="A10" s="218">
        <f t="shared" si="0"/>
        <v>49</v>
      </c>
      <c r="B10" s="47">
        <f t="shared" si="38"/>
        <v>42340</v>
      </c>
      <c r="C10" s="219">
        <f t="shared" si="1"/>
        <v>1</v>
      </c>
      <c r="D10" s="220" t="str">
        <f t="shared" si="2"/>
        <v/>
      </c>
      <c r="E10" s="298" t="str">
        <f t="shared" si="3"/>
        <v/>
      </c>
      <c r="F10" s="87">
        <f t="shared" si="4"/>
        <v>42340</v>
      </c>
      <c r="G10" s="147"/>
      <c r="H10" s="74"/>
      <c r="I10" s="75"/>
      <c r="J10" s="221">
        <f t="shared" si="5"/>
        <v>0</v>
      </c>
      <c r="K10" s="76"/>
      <c r="L10" s="221">
        <f>IF(J10-K10&gt;=Pause_9,Pause_9p,IF(J10-K10&gt;=Pause_6,Pause_6p,0))</f>
        <v>0</v>
      </c>
      <c r="M10" s="74"/>
      <c r="N10" s="75"/>
      <c r="O10" s="221">
        <f t="shared" si="6"/>
        <v>0</v>
      </c>
      <c r="P10" s="76"/>
      <c r="Q10" s="221">
        <f>IF(O10-P10&gt;Pause_9,Pause_9p,IF(O10-P10&gt;Pause_6,Pause_6p,0))</f>
        <v>0</v>
      </c>
      <c r="R10" s="221">
        <f>IF(J10+O10-K10-P10&gt;Pause_9,Pause_9p,IF(J10+O10-K10-P10&gt;Pause_6,Pause_6p,0))</f>
        <v>0</v>
      </c>
      <c r="S10" s="221">
        <f t="shared" si="7"/>
        <v>0</v>
      </c>
      <c r="T10" s="79">
        <f t="shared" si="8"/>
        <v>0</v>
      </c>
      <c r="U10" s="79">
        <f t="shared" si="39"/>
        <v>0</v>
      </c>
      <c r="V10" s="80">
        <f t="shared" ca="1" si="9"/>
        <v>0.33333333329999998</v>
      </c>
      <c r="W10" s="249" t="str">
        <f t="shared" ca="1" si="10"/>
        <v/>
      </c>
      <c r="X10" s="293"/>
      <c r="Y10" s="221">
        <f t="shared" si="11"/>
        <v>0</v>
      </c>
      <c r="Z10" s="299">
        <f ca="1">IF(B10="","",INDIRECT(ADDRESS(MATCH(B10,Soll_AZ,1)+MATCH("Arbeitszeit 1 ab",Voreinstellung_Übersicht!B:B,0)-1,WEEKDAY(B10,2)+4,,,"Voreinstellung_Übersicht"),TRUE))</f>
        <v>0.33333333333333331</v>
      </c>
      <c r="AA10" s="300">
        <f t="shared" ca="1" si="40"/>
        <v>0</v>
      </c>
      <c r="AB10" s="219">
        <f t="shared" si="12"/>
        <v>0</v>
      </c>
      <c r="AC10" s="219">
        <f t="shared" si="13"/>
        <v>0</v>
      </c>
      <c r="AD10" s="219">
        <f t="shared" si="14"/>
        <v>0</v>
      </c>
      <c r="AE10" s="219">
        <f t="shared" si="15"/>
        <v>0</v>
      </c>
      <c r="AF10" s="219">
        <f t="shared" si="16"/>
        <v>0</v>
      </c>
      <c r="AG10" s="219">
        <f t="shared" si="17"/>
        <v>0</v>
      </c>
      <c r="AH10" s="219">
        <f t="shared" si="18"/>
        <v>0</v>
      </c>
      <c r="AI10" s="219">
        <f t="shared" si="19"/>
        <v>0</v>
      </c>
      <c r="AJ10" s="219">
        <f t="shared" si="20"/>
        <v>0</v>
      </c>
      <c r="AK10" s="219">
        <f t="shared" si="21"/>
        <v>0</v>
      </c>
      <c r="AL10" s="219">
        <f t="shared" si="22"/>
        <v>0</v>
      </c>
      <c r="AM10" s="219">
        <f t="shared" si="23"/>
        <v>0</v>
      </c>
      <c r="AN10" s="301">
        <f t="shared" si="24"/>
        <v>0</v>
      </c>
      <c r="AO10" s="301">
        <f t="shared" si="25"/>
        <v>0</v>
      </c>
      <c r="AP10" s="301">
        <f t="shared" si="26"/>
        <v>0</v>
      </c>
      <c r="AQ10" s="301">
        <f t="shared" si="27"/>
        <v>0</v>
      </c>
      <c r="AR10" s="301">
        <f t="shared" si="28"/>
        <v>0</v>
      </c>
      <c r="AS10" s="301">
        <f t="shared" si="29"/>
        <v>0</v>
      </c>
      <c r="AT10" s="302">
        <f t="shared" si="30"/>
        <v>0</v>
      </c>
      <c r="AU10" s="302">
        <f t="shared" si="31"/>
        <v>0</v>
      </c>
      <c r="AV10" s="81">
        <f t="shared" si="32"/>
        <v>0</v>
      </c>
      <c r="AW10" s="82">
        <f t="shared" si="33"/>
        <v>0</v>
      </c>
      <c r="AX10" s="81">
        <f t="shared" si="34"/>
        <v>0</v>
      </c>
      <c r="AY10" s="83">
        <f t="shared" si="35"/>
        <v>0</v>
      </c>
      <c r="AZ10" s="83">
        <f t="shared" si="36"/>
        <v>0</v>
      </c>
      <c r="BA10" s="82">
        <f>IF(OR(B10=Feiertage!$A$16,B10=Feiertage!$A$19),U10*Zuschläge_24_31/100,IF(AZ10&gt;0,AZ10*Feiertag_mit/100,IF(AX10&gt;0,AX10*Zuschläge_Sa/100,IF(AY10&gt;0,AY10*Zuschlag_So/100,0))))</f>
        <v>0</v>
      </c>
      <c r="BB10" s="82">
        <f>IF(AND(B10&lt;&gt;0,G10=Voreinstellung_Übersicht!$D$41),IF(EG=1,W10*Über_klein/100,IF(EG=2,W10*Über_groß/100,"Fehler")),0)</f>
        <v>0</v>
      </c>
      <c r="BC10" s="299">
        <f t="shared" ca="1" si="41"/>
        <v>0</v>
      </c>
      <c r="BD10" s="219">
        <f t="shared" ca="1" si="37"/>
        <v>1</v>
      </c>
      <c r="BE10" s="303">
        <f ca="1">IF(B10="","",INDIRECT(ADDRESS(MATCH(B10,Soll_AZ,1)+MATCH("Arbeitszeit 1 ab",Voreinstellung_Übersicht!B:B,0)-1,4,,,"Voreinstellung_Übersicht"),TRUE))</f>
        <v>1.6666666666666665</v>
      </c>
      <c r="BF10" s="1">
        <f t="shared" si="42"/>
        <v>0</v>
      </c>
    </row>
    <row r="11" spans="1:58" s="1" customFormat="1" ht="15" x14ac:dyDescent="0.3">
      <c r="A11" s="218">
        <f t="shared" si="0"/>
        <v>49</v>
      </c>
      <c r="B11" s="47">
        <f t="shared" si="38"/>
        <v>42341</v>
      </c>
      <c r="C11" s="219">
        <f t="shared" si="1"/>
        <v>1</v>
      </c>
      <c r="D11" s="220" t="str">
        <f t="shared" si="2"/>
        <v/>
      </c>
      <c r="E11" s="298" t="str">
        <f t="shared" si="3"/>
        <v/>
      </c>
      <c r="F11" s="87">
        <f t="shared" si="4"/>
        <v>42341</v>
      </c>
      <c r="G11" s="147"/>
      <c r="H11" s="74"/>
      <c r="I11" s="75"/>
      <c r="J11" s="221">
        <f t="shared" si="5"/>
        <v>0</v>
      </c>
      <c r="K11" s="76"/>
      <c r="L11" s="221">
        <f>IF(J11-K11&gt;=Pause_9,Pause_9p,IF(J11-K11&gt;=Pause_6,Pause_6p,0))</f>
        <v>0</v>
      </c>
      <c r="M11" s="74"/>
      <c r="N11" s="75"/>
      <c r="O11" s="221">
        <f t="shared" si="6"/>
        <v>0</v>
      </c>
      <c r="P11" s="76"/>
      <c r="Q11" s="221">
        <f>IF(O11-P11&gt;Pause_9,Pause_9p,IF(O11-P11&gt;Pause_6,Pause_6p,0))</f>
        <v>0</v>
      </c>
      <c r="R11" s="221">
        <f>IF(J11+O11-K11-P11&gt;Pause_9,Pause_9p,IF(J11+O11-K11-P11&gt;Pause_6,Pause_6p,0))</f>
        <v>0</v>
      </c>
      <c r="S11" s="221">
        <f t="shared" si="7"/>
        <v>0</v>
      </c>
      <c r="T11" s="79">
        <f t="shared" si="8"/>
        <v>0</v>
      </c>
      <c r="U11" s="79">
        <f t="shared" si="39"/>
        <v>0</v>
      </c>
      <c r="V11" s="80">
        <f t="shared" ca="1" si="9"/>
        <v>0.33333333329999998</v>
      </c>
      <c r="W11" s="249" t="str">
        <f t="shared" ca="1" si="10"/>
        <v/>
      </c>
      <c r="X11" s="293"/>
      <c r="Y11" s="221">
        <f t="shared" si="11"/>
        <v>0</v>
      </c>
      <c r="Z11" s="299">
        <f ca="1">IF(B11="","",INDIRECT(ADDRESS(MATCH(B11,Soll_AZ,1)+MATCH("Arbeitszeit 1 ab",Voreinstellung_Übersicht!B:B,0)-1,WEEKDAY(B11,2)+4,,,"Voreinstellung_Übersicht"),TRUE))</f>
        <v>0.33333333333333331</v>
      </c>
      <c r="AA11" s="300">
        <f t="shared" ca="1" si="40"/>
        <v>0</v>
      </c>
      <c r="AB11" s="219">
        <f t="shared" si="12"/>
        <v>0</v>
      </c>
      <c r="AC11" s="219">
        <f t="shared" si="13"/>
        <v>0</v>
      </c>
      <c r="AD11" s="219">
        <f t="shared" si="14"/>
        <v>0</v>
      </c>
      <c r="AE11" s="219">
        <f t="shared" si="15"/>
        <v>0</v>
      </c>
      <c r="AF11" s="219">
        <f t="shared" si="16"/>
        <v>0</v>
      </c>
      <c r="AG11" s="219">
        <f t="shared" si="17"/>
        <v>0</v>
      </c>
      <c r="AH11" s="219">
        <f t="shared" si="18"/>
        <v>0</v>
      </c>
      <c r="AI11" s="219">
        <f t="shared" si="19"/>
        <v>0</v>
      </c>
      <c r="AJ11" s="219">
        <f t="shared" si="20"/>
        <v>0</v>
      </c>
      <c r="AK11" s="219">
        <f t="shared" si="21"/>
        <v>0</v>
      </c>
      <c r="AL11" s="219">
        <f t="shared" si="22"/>
        <v>0</v>
      </c>
      <c r="AM11" s="219">
        <f t="shared" si="23"/>
        <v>0</v>
      </c>
      <c r="AN11" s="301">
        <f t="shared" si="24"/>
        <v>0</v>
      </c>
      <c r="AO11" s="301">
        <f t="shared" si="25"/>
        <v>0</v>
      </c>
      <c r="AP11" s="301">
        <f t="shared" si="26"/>
        <v>0</v>
      </c>
      <c r="AQ11" s="301">
        <f t="shared" si="27"/>
        <v>0</v>
      </c>
      <c r="AR11" s="301">
        <f t="shared" si="28"/>
        <v>0</v>
      </c>
      <c r="AS11" s="301">
        <f t="shared" si="29"/>
        <v>0</v>
      </c>
      <c r="AT11" s="302">
        <f t="shared" si="30"/>
        <v>0</v>
      </c>
      <c r="AU11" s="302">
        <f t="shared" si="31"/>
        <v>0</v>
      </c>
      <c r="AV11" s="81">
        <f t="shared" si="32"/>
        <v>0</v>
      </c>
      <c r="AW11" s="82">
        <f t="shared" si="33"/>
        <v>0</v>
      </c>
      <c r="AX11" s="81">
        <f t="shared" si="34"/>
        <v>0</v>
      </c>
      <c r="AY11" s="83">
        <f t="shared" si="35"/>
        <v>0</v>
      </c>
      <c r="AZ11" s="83">
        <f t="shared" si="36"/>
        <v>0</v>
      </c>
      <c r="BA11" s="82">
        <f>IF(OR(B11=Feiertage!$A$16,B11=Feiertage!$A$19),U11*Zuschläge_24_31/100,IF(AZ11&gt;0,AZ11*Feiertag_mit/100,IF(AX11&gt;0,AX11*Zuschläge_Sa/100,IF(AY11&gt;0,AY11*Zuschlag_So/100,0))))</f>
        <v>0</v>
      </c>
      <c r="BB11" s="82">
        <f>IF(AND(B11&lt;&gt;0,G11=Voreinstellung_Übersicht!$D$41),IF(EG=1,W11*Über_klein/100,IF(EG=2,W11*Über_groß/100,"Fehler")),0)</f>
        <v>0</v>
      </c>
      <c r="BC11" s="299">
        <f t="shared" ca="1" si="41"/>
        <v>0</v>
      </c>
      <c r="BD11" s="219">
        <f t="shared" ca="1" si="37"/>
        <v>1</v>
      </c>
      <c r="BE11" s="303">
        <f ca="1">IF(B11="","",INDIRECT(ADDRESS(MATCH(B11,Soll_AZ,1)+MATCH("Arbeitszeit 1 ab",Voreinstellung_Übersicht!B:B,0)-1,4,,,"Voreinstellung_Übersicht"),TRUE))</f>
        <v>1.6666666666666665</v>
      </c>
      <c r="BF11" s="1">
        <f t="shared" si="42"/>
        <v>0</v>
      </c>
    </row>
    <row r="12" spans="1:58" s="1" customFormat="1" ht="15" x14ac:dyDescent="0.3">
      <c r="A12" s="218">
        <f t="shared" si="0"/>
        <v>49</v>
      </c>
      <c r="B12" s="47">
        <f t="shared" si="38"/>
        <v>42342</v>
      </c>
      <c r="C12" s="219">
        <f t="shared" si="1"/>
        <v>1</v>
      </c>
      <c r="D12" s="220" t="str">
        <f t="shared" si="2"/>
        <v/>
      </c>
      <c r="E12" s="298" t="str">
        <f t="shared" si="3"/>
        <v/>
      </c>
      <c r="F12" s="87">
        <f t="shared" si="4"/>
        <v>42342</v>
      </c>
      <c r="G12" s="147"/>
      <c r="H12" s="74"/>
      <c r="I12" s="75"/>
      <c r="J12" s="221">
        <f t="shared" si="5"/>
        <v>0</v>
      </c>
      <c r="K12" s="76"/>
      <c r="L12" s="221">
        <f t="shared" ref="L12:L38" si="43">IF(J12&gt;=Pause_9,Pause_9p,IF(J12&gt;=Pause_6,Pause_6p,0))</f>
        <v>0</v>
      </c>
      <c r="M12" s="74"/>
      <c r="N12" s="75"/>
      <c r="O12" s="221">
        <f t="shared" si="6"/>
        <v>0</v>
      </c>
      <c r="P12" s="76"/>
      <c r="Q12" s="221">
        <f t="shared" ref="Q12:Q38" si="44">IF(O12&gt;Pause_9,Pause_9p,IF(O12&gt;=Pause_6,Pause_6p,0))</f>
        <v>0</v>
      </c>
      <c r="R12" s="221">
        <f t="shared" ref="R12:R38" si="45">IF(J12+O12&gt;=Pause_9,Pause_9p,IF(J12+O12&gt;=Pause_6,Pause_6p,0))</f>
        <v>0</v>
      </c>
      <c r="S12" s="221">
        <f t="shared" si="7"/>
        <v>0</v>
      </c>
      <c r="T12" s="79">
        <f t="shared" si="8"/>
        <v>0</v>
      </c>
      <c r="U12" s="79">
        <f t="shared" si="39"/>
        <v>0</v>
      </c>
      <c r="V12" s="80">
        <f t="shared" ca="1" si="9"/>
        <v>0.33333333329999998</v>
      </c>
      <c r="W12" s="249" t="str">
        <f t="shared" ca="1" si="10"/>
        <v/>
      </c>
      <c r="X12" s="293"/>
      <c r="Y12" s="221">
        <f t="shared" si="11"/>
        <v>0</v>
      </c>
      <c r="Z12" s="299">
        <f ca="1">IF(B12="","",INDIRECT(ADDRESS(MATCH(B12,Soll_AZ,1)+MATCH("Arbeitszeit 1 ab",Voreinstellung_Übersicht!B:B,0)-1,WEEKDAY(B12,2)+4,,,"Voreinstellung_Übersicht"),TRUE))</f>
        <v>0.33333333333333331</v>
      </c>
      <c r="AA12" s="300">
        <f t="shared" ca="1" si="40"/>
        <v>0</v>
      </c>
      <c r="AB12" s="219">
        <f t="shared" si="12"/>
        <v>0</v>
      </c>
      <c r="AC12" s="219">
        <f t="shared" si="13"/>
        <v>0</v>
      </c>
      <c r="AD12" s="219">
        <f t="shared" si="14"/>
        <v>0</v>
      </c>
      <c r="AE12" s="219">
        <f t="shared" si="15"/>
        <v>0</v>
      </c>
      <c r="AF12" s="219">
        <f t="shared" si="16"/>
        <v>0</v>
      </c>
      <c r="AG12" s="219">
        <f t="shared" si="17"/>
        <v>0</v>
      </c>
      <c r="AH12" s="219">
        <f t="shared" si="18"/>
        <v>0</v>
      </c>
      <c r="AI12" s="219">
        <f t="shared" si="19"/>
        <v>0</v>
      </c>
      <c r="AJ12" s="219">
        <f t="shared" si="20"/>
        <v>0</v>
      </c>
      <c r="AK12" s="219">
        <f t="shared" si="21"/>
        <v>0</v>
      </c>
      <c r="AL12" s="219">
        <f t="shared" si="22"/>
        <v>0</v>
      </c>
      <c r="AM12" s="219">
        <f t="shared" si="23"/>
        <v>0</v>
      </c>
      <c r="AN12" s="301">
        <f t="shared" si="24"/>
        <v>0</v>
      </c>
      <c r="AO12" s="301">
        <f t="shared" si="25"/>
        <v>0</v>
      </c>
      <c r="AP12" s="301">
        <f t="shared" si="26"/>
        <v>0</v>
      </c>
      <c r="AQ12" s="301">
        <f t="shared" si="27"/>
        <v>0</v>
      </c>
      <c r="AR12" s="301">
        <f t="shared" si="28"/>
        <v>0</v>
      </c>
      <c r="AS12" s="301">
        <f t="shared" si="29"/>
        <v>0</v>
      </c>
      <c r="AT12" s="302">
        <f t="shared" si="30"/>
        <v>0</v>
      </c>
      <c r="AU12" s="302">
        <f t="shared" si="31"/>
        <v>0</v>
      </c>
      <c r="AV12" s="81">
        <f t="shared" si="32"/>
        <v>0</v>
      </c>
      <c r="AW12" s="82">
        <f t="shared" si="33"/>
        <v>0</v>
      </c>
      <c r="AX12" s="81">
        <f t="shared" si="34"/>
        <v>0</v>
      </c>
      <c r="AY12" s="83">
        <f t="shared" si="35"/>
        <v>0</v>
      </c>
      <c r="AZ12" s="83">
        <f t="shared" si="36"/>
        <v>0</v>
      </c>
      <c r="BA12" s="82">
        <f>IF(OR(B12=Feiertage!$A$16,B12=Feiertage!$A$19),U12*Zuschläge_24_31/100,IF(AZ12&gt;0,AZ12*Feiertag_mit/100,IF(AX12&gt;0,AX12*Zuschläge_Sa/100,IF(AY12&gt;0,AY12*Zuschlag_So/100,0))))</f>
        <v>0</v>
      </c>
      <c r="BB12" s="82">
        <f>IF(AND(B12&lt;&gt;0,G12=Voreinstellung_Übersicht!$D$41),IF(EG=1,W12*Über_klein/100,IF(EG=2,W12*Über_groß/100,"Fehler")),0)</f>
        <v>0</v>
      </c>
      <c r="BC12" s="299">
        <f t="shared" ca="1" si="41"/>
        <v>0</v>
      </c>
      <c r="BD12" s="219">
        <f t="shared" ca="1" si="37"/>
        <v>1</v>
      </c>
      <c r="BE12" s="303">
        <f ca="1">IF(B12="","",INDIRECT(ADDRESS(MATCH(B12,Soll_AZ,1)+MATCH("Arbeitszeit 1 ab",Voreinstellung_Übersicht!B:B,0)-1,4,,,"Voreinstellung_Übersicht"),TRUE))</f>
        <v>1.6666666666666665</v>
      </c>
      <c r="BF12" s="1">
        <f t="shared" si="42"/>
        <v>0</v>
      </c>
    </row>
    <row r="13" spans="1:58" s="1" customFormat="1" ht="15" x14ac:dyDescent="0.3">
      <c r="A13" s="218">
        <f t="shared" si="0"/>
        <v>49</v>
      </c>
      <c r="B13" s="47">
        <f t="shared" si="38"/>
        <v>42343</v>
      </c>
      <c r="C13" s="219">
        <f t="shared" si="1"/>
        <v>1</v>
      </c>
      <c r="D13" s="220" t="str">
        <f t="shared" si="2"/>
        <v/>
      </c>
      <c r="E13" s="298" t="str">
        <f t="shared" si="3"/>
        <v/>
      </c>
      <c r="F13" s="87">
        <f t="shared" si="4"/>
        <v>42343</v>
      </c>
      <c r="G13" s="147"/>
      <c r="H13" s="74"/>
      <c r="I13" s="75"/>
      <c r="J13" s="221">
        <f t="shared" si="5"/>
        <v>0</v>
      </c>
      <c r="K13" s="76"/>
      <c r="L13" s="221">
        <f t="shared" si="43"/>
        <v>0</v>
      </c>
      <c r="M13" s="74"/>
      <c r="N13" s="75"/>
      <c r="O13" s="221">
        <f t="shared" si="6"/>
        <v>0</v>
      </c>
      <c r="P13" s="76"/>
      <c r="Q13" s="221">
        <f t="shared" si="44"/>
        <v>0</v>
      </c>
      <c r="R13" s="221">
        <f t="shared" si="45"/>
        <v>0</v>
      </c>
      <c r="S13" s="221">
        <f t="shared" si="7"/>
        <v>0</v>
      </c>
      <c r="T13" s="79">
        <f t="shared" si="8"/>
        <v>0</v>
      </c>
      <c r="U13" s="79">
        <f t="shared" si="39"/>
        <v>0</v>
      </c>
      <c r="V13" s="80">
        <f t="shared" ca="1" si="9"/>
        <v>0.33333333329999998</v>
      </c>
      <c r="W13" s="249" t="str">
        <f t="shared" ca="1" si="10"/>
        <v/>
      </c>
      <c r="X13" s="293"/>
      <c r="Y13" s="221">
        <f t="shared" si="11"/>
        <v>0</v>
      </c>
      <c r="Z13" s="299">
        <f ca="1">IF(B13="","",INDIRECT(ADDRESS(MATCH(B13,Soll_AZ,1)+MATCH("Arbeitszeit 1 ab",Voreinstellung_Übersicht!B:B,0)-1,WEEKDAY(B13,2)+4,,,"Voreinstellung_Übersicht"),TRUE))</f>
        <v>0.33333333333333331</v>
      </c>
      <c r="AA13" s="300">
        <f t="shared" ca="1" si="40"/>
        <v>0</v>
      </c>
      <c r="AB13" s="219">
        <f t="shared" si="12"/>
        <v>0</v>
      </c>
      <c r="AC13" s="219">
        <f t="shared" si="13"/>
        <v>0</v>
      </c>
      <c r="AD13" s="219">
        <f t="shared" si="14"/>
        <v>0</v>
      </c>
      <c r="AE13" s="219">
        <f t="shared" si="15"/>
        <v>0</v>
      </c>
      <c r="AF13" s="219">
        <f t="shared" si="16"/>
        <v>0</v>
      </c>
      <c r="AG13" s="219">
        <f t="shared" si="17"/>
        <v>0</v>
      </c>
      <c r="AH13" s="219">
        <f t="shared" si="18"/>
        <v>0</v>
      </c>
      <c r="AI13" s="219">
        <f t="shared" si="19"/>
        <v>0</v>
      </c>
      <c r="AJ13" s="219">
        <f t="shared" si="20"/>
        <v>0</v>
      </c>
      <c r="AK13" s="219">
        <f t="shared" si="21"/>
        <v>0</v>
      </c>
      <c r="AL13" s="219">
        <f t="shared" si="22"/>
        <v>0</v>
      </c>
      <c r="AM13" s="219">
        <f t="shared" si="23"/>
        <v>0</v>
      </c>
      <c r="AN13" s="301">
        <f t="shared" si="24"/>
        <v>0</v>
      </c>
      <c r="AO13" s="301">
        <f t="shared" si="25"/>
        <v>0</v>
      </c>
      <c r="AP13" s="301">
        <f t="shared" si="26"/>
        <v>0</v>
      </c>
      <c r="AQ13" s="301">
        <f t="shared" si="27"/>
        <v>0</v>
      </c>
      <c r="AR13" s="301">
        <f t="shared" si="28"/>
        <v>0</v>
      </c>
      <c r="AS13" s="301">
        <f t="shared" si="29"/>
        <v>0</v>
      </c>
      <c r="AT13" s="302">
        <f t="shared" si="30"/>
        <v>0</v>
      </c>
      <c r="AU13" s="302">
        <f t="shared" si="31"/>
        <v>0</v>
      </c>
      <c r="AV13" s="81">
        <f t="shared" si="32"/>
        <v>0</v>
      </c>
      <c r="AW13" s="82">
        <f t="shared" si="33"/>
        <v>0</v>
      </c>
      <c r="AX13" s="81">
        <f t="shared" si="34"/>
        <v>0</v>
      </c>
      <c r="AY13" s="83">
        <f t="shared" si="35"/>
        <v>0</v>
      </c>
      <c r="AZ13" s="83">
        <f t="shared" si="36"/>
        <v>0</v>
      </c>
      <c r="BA13" s="82">
        <f>IF(OR(B13=Feiertage!$A$16,B13=Feiertage!$A$19),U13*Zuschläge_24_31/100,IF(AZ13&gt;0,AZ13*Feiertag_mit/100,IF(AX13&gt;0,AX13*Zuschläge_Sa/100,IF(AY13&gt;0,AY13*Zuschlag_So/100,0))))</f>
        <v>0</v>
      </c>
      <c r="BB13" s="82">
        <f>IF(AND(B13&lt;&gt;0,G13=Voreinstellung_Übersicht!$D$41),IF(EG=1,W13*Über_klein/100,IF(EG=2,W13*Über_groß/100,"Fehler")),0)</f>
        <v>0</v>
      </c>
      <c r="BC13" s="299">
        <f t="shared" ca="1" si="41"/>
        <v>0</v>
      </c>
      <c r="BD13" s="219">
        <f t="shared" ca="1" si="37"/>
        <v>1</v>
      </c>
      <c r="BE13" s="303">
        <f ca="1">IF(B13="","",INDIRECT(ADDRESS(MATCH(B13,Soll_AZ,1)+MATCH("Arbeitszeit 1 ab",Voreinstellung_Übersicht!B:B,0)-1,4,,,"Voreinstellung_Übersicht"),TRUE))</f>
        <v>1.6666666666666665</v>
      </c>
      <c r="BF13" s="1">
        <f t="shared" si="42"/>
        <v>0</v>
      </c>
    </row>
    <row r="14" spans="1:58" s="1" customFormat="1" ht="15" x14ac:dyDescent="0.3">
      <c r="A14" s="218">
        <f t="shared" si="0"/>
        <v>49</v>
      </c>
      <c r="B14" s="47">
        <f t="shared" si="38"/>
        <v>42344</v>
      </c>
      <c r="C14" s="219">
        <f t="shared" si="1"/>
        <v>0</v>
      </c>
      <c r="D14" s="220" t="str">
        <f t="shared" si="2"/>
        <v/>
      </c>
      <c r="E14" s="298" t="str">
        <f t="shared" si="3"/>
        <v/>
      </c>
      <c r="F14" s="87">
        <f t="shared" si="4"/>
        <v>42344</v>
      </c>
      <c r="G14" s="147"/>
      <c r="H14" s="74"/>
      <c r="I14" s="75"/>
      <c r="J14" s="221">
        <f t="shared" si="5"/>
        <v>0</v>
      </c>
      <c r="K14" s="76"/>
      <c r="L14" s="221">
        <f t="shared" si="43"/>
        <v>0</v>
      </c>
      <c r="M14" s="74"/>
      <c r="N14" s="75"/>
      <c r="O14" s="221">
        <f t="shared" si="6"/>
        <v>0</v>
      </c>
      <c r="P14" s="76"/>
      <c r="Q14" s="221">
        <f t="shared" si="44"/>
        <v>0</v>
      </c>
      <c r="R14" s="221">
        <f t="shared" si="45"/>
        <v>0</v>
      </c>
      <c r="S14" s="221">
        <f t="shared" si="7"/>
        <v>0</v>
      </c>
      <c r="T14" s="79">
        <f t="shared" si="8"/>
        <v>0</v>
      </c>
      <c r="U14" s="79">
        <f t="shared" si="39"/>
        <v>0</v>
      </c>
      <c r="V14" s="80">
        <f t="shared" ca="1" si="9"/>
        <v>0</v>
      </c>
      <c r="W14" s="249" t="str">
        <f t="shared" ca="1" si="10"/>
        <v/>
      </c>
      <c r="X14" s="293"/>
      <c r="Y14" s="221">
        <f t="shared" si="11"/>
        <v>0</v>
      </c>
      <c r="Z14" s="299">
        <f ca="1">IF(B14="","",INDIRECT(ADDRESS(MATCH(B14,Soll_AZ,1)+MATCH("Arbeitszeit 1 ab",Voreinstellung_Übersicht!B:B,0)-1,WEEKDAY(B14,2)+4,,,"Voreinstellung_Übersicht"),TRUE))</f>
        <v>0</v>
      </c>
      <c r="AA14" s="300">
        <f t="shared" ca="1" si="40"/>
        <v>0</v>
      </c>
      <c r="AB14" s="219">
        <f t="shared" si="12"/>
        <v>0</v>
      </c>
      <c r="AC14" s="219">
        <f t="shared" si="13"/>
        <v>0</v>
      </c>
      <c r="AD14" s="219">
        <f t="shared" si="14"/>
        <v>0</v>
      </c>
      <c r="AE14" s="219">
        <f t="shared" si="15"/>
        <v>0</v>
      </c>
      <c r="AF14" s="219">
        <f t="shared" si="16"/>
        <v>0</v>
      </c>
      <c r="AG14" s="219">
        <f t="shared" si="17"/>
        <v>0</v>
      </c>
      <c r="AH14" s="219">
        <f t="shared" si="18"/>
        <v>0</v>
      </c>
      <c r="AI14" s="219">
        <f t="shared" si="19"/>
        <v>0</v>
      </c>
      <c r="AJ14" s="219">
        <f t="shared" si="20"/>
        <v>0</v>
      </c>
      <c r="AK14" s="219">
        <f t="shared" si="21"/>
        <v>0</v>
      </c>
      <c r="AL14" s="219">
        <f t="shared" si="22"/>
        <v>0</v>
      </c>
      <c r="AM14" s="219">
        <f t="shared" si="23"/>
        <v>0</v>
      </c>
      <c r="AN14" s="301">
        <f t="shared" si="24"/>
        <v>0</v>
      </c>
      <c r="AO14" s="301">
        <f t="shared" si="25"/>
        <v>0</v>
      </c>
      <c r="AP14" s="301">
        <f t="shared" si="26"/>
        <v>0</v>
      </c>
      <c r="AQ14" s="301">
        <f t="shared" si="27"/>
        <v>0</v>
      </c>
      <c r="AR14" s="301">
        <f t="shared" si="28"/>
        <v>0</v>
      </c>
      <c r="AS14" s="301">
        <f t="shared" si="29"/>
        <v>0</v>
      </c>
      <c r="AT14" s="302">
        <f t="shared" si="30"/>
        <v>0</v>
      </c>
      <c r="AU14" s="302">
        <f t="shared" si="31"/>
        <v>0</v>
      </c>
      <c r="AV14" s="81">
        <f t="shared" si="32"/>
        <v>0</v>
      </c>
      <c r="AW14" s="82">
        <f t="shared" si="33"/>
        <v>0</v>
      </c>
      <c r="AX14" s="81">
        <f t="shared" si="34"/>
        <v>0</v>
      </c>
      <c r="AY14" s="83">
        <f t="shared" si="35"/>
        <v>0</v>
      </c>
      <c r="AZ14" s="83">
        <f t="shared" si="36"/>
        <v>0</v>
      </c>
      <c r="BA14" s="82">
        <f>IF(OR(B14=Feiertage!$A$16,B14=Feiertage!$A$19),U14*Zuschläge_24_31/100,IF(AZ14&gt;0,AZ14*Feiertag_mit/100,IF(AX14&gt;0,AX14*Zuschläge_Sa/100,IF(AY14&gt;0,AY14*Zuschlag_So/100,0))))</f>
        <v>0</v>
      </c>
      <c r="BB14" s="82">
        <f>IF(AND(B14&lt;&gt;0,G14=Voreinstellung_Übersicht!$D$41),IF(EG=1,W14*Über_klein/100,IF(EG=2,W14*Über_groß/100,"Fehler")),0)</f>
        <v>0</v>
      </c>
      <c r="BC14" s="299">
        <f t="shared" ca="1" si="41"/>
        <v>0</v>
      </c>
      <c r="BD14" s="219">
        <f t="shared" ca="1" si="37"/>
        <v>1</v>
      </c>
      <c r="BE14" s="303">
        <f ca="1">IF(B14="","",INDIRECT(ADDRESS(MATCH(B14,Soll_AZ,1)+MATCH("Arbeitszeit 1 ab",Voreinstellung_Übersicht!B:B,0)-1,4,,,"Voreinstellung_Übersicht"),TRUE))</f>
        <v>1.6666666666666665</v>
      </c>
      <c r="BF14" s="1">
        <f t="shared" si="42"/>
        <v>0</v>
      </c>
    </row>
    <row r="15" spans="1:58" s="1" customFormat="1" ht="15" x14ac:dyDescent="0.3">
      <c r="A15" s="218">
        <f t="shared" si="0"/>
        <v>50</v>
      </c>
      <c r="B15" s="47">
        <f t="shared" si="38"/>
        <v>42345</v>
      </c>
      <c r="C15" s="219">
        <f t="shared" si="1"/>
        <v>0</v>
      </c>
      <c r="D15" s="220" t="str">
        <f t="shared" si="2"/>
        <v/>
      </c>
      <c r="E15" s="298" t="str">
        <f t="shared" si="3"/>
        <v/>
      </c>
      <c r="F15" s="87">
        <f t="shared" si="4"/>
        <v>42345</v>
      </c>
      <c r="G15" s="147"/>
      <c r="H15" s="74"/>
      <c r="I15" s="75"/>
      <c r="J15" s="221">
        <f t="shared" si="5"/>
        <v>0</v>
      </c>
      <c r="K15" s="76"/>
      <c r="L15" s="221">
        <f t="shared" si="43"/>
        <v>0</v>
      </c>
      <c r="M15" s="74"/>
      <c r="N15" s="75"/>
      <c r="O15" s="221">
        <f t="shared" si="6"/>
        <v>0</v>
      </c>
      <c r="P15" s="76"/>
      <c r="Q15" s="221">
        <f t="shared" si="44"/>
        <v>0</v>
      </c>
      <c r="R15" s="221">
        <f t="shared" si="45"/>
        <v>0</v>
      </c>
      <c r="S15" s="221">
        <f t="shared" si="7"/>
        <v>0</v>
      </c>
      <c r="T15" s="79">
        <f t="shared" si="8"/>
        <v>0</v>
      </c>
      <c r="U15" s="79">
        <f t="shared" si="39"/>
        <v>0</v>
      </c>
      <c r="V15" s="80">
        <f t="shared" ca="1" si="9"/>
        <v>0</v>
      </c>
      <c r="W15" s="249" t="str">
        <f t="shared" ca="1" si="10"/>
        <v/>
      </c>
      <c r="X15" s="293"/>
      <c r="Y15" s="221">
        <f t="shared" si="11"/>
        <v>0</v>
      </c>
      <c r="Z15" s="299">
        <f ca="1">IF(B15="","",INDIRECT(ADDRESS(MATCH(B15,Soll_AZ,1)+MATCH("Arbeitszeit 1 ab",Voreinstellung_Übersicht!B:B,0)-1,WEEKDAY(B15,2)+4,,,"Voreinstellung_Übersicht"),TRUE))</f>
        <v>0</v>
      </c>
      <c r="AA15" s="300">
        <f t="shared" ca="1" si="40"/>
        <v>0</v>
      </c>
      <c r="AB15" s="219">
        <f t="shared" si="12"/>
        <v>0</v>
      </c>
      <c r="AC15" s="219">
        <f t="shared" si="13"/>
        <v>0</v>
      </c>
      <c r="AD15" s="219">
        <f t="shared" si="14"/>
        <v>0</v>
      </c>
      <c r="AE15" s="219">
        <f t="shared" si="15"/>
        <v>0</v>
      </c>
      <c r="AF15" s="219">
        <f t="shared" si="16"/>
        <v>0</v>
      </c>
      <c r="AG15" s="219">
        <f t="shared" si="17"/>
        <v>0</v>
      </c>
      <c r="AH15" s="219">
        <f t="shared" si="18"/>
        <v>0</v>
      </c>
      <c r="AI15" s="219">
        <f t="shared" si="19"/>
        <v>0</v>
      </c>
      <c r="AJ15" s="219">
        <f t="shared" si="20"/>
        <v>0</v>
      </c>
      <c r="AK15" s="219">
        <f t="shared" si="21"/>
        <v>0</v>
      </c>
      <c r="AL15" s="219">
        <f t="shared" si="22"/>
        <v>0</v>
      </c>
      <c r="AM15" s="219">
        <f t="shared" si="23"/>
        <v>0</v>
      </c>
      <c r="AN15" s="301">
        <f t="shared" si="24"/>
        <v>0</v>
      </c>
      <c r="AO15" s="301">
        <f t="shared" si="25"/>
        <v>0</v>
      </c>
      <c r="AP15" s="301">
        <f t="shared" si="26"/>
        <v>0</v>
      </c>
      <c r="AQ15" s="301">
        <f t="shared" si="27"/>
        <v>0</v>
      </c>
      <c r="AR15" s="301">
        <f t="shared" si="28"/>
        <v>0</v>
      </c>
      <c r="AS15" s="301">
        <f t="shared" si="29"/>
        <v>0</v>
      </c>
      <c r="AT15" s="302">
        <f t="shared" si="30"/>
        <v>0</v>
      </c>
      <c r="AU15" s="302">
        <f t="shared" si="31"/>
        <v>0</v>
      </c>
      <c r="AV15" s="81">
        <f t="shared" si="32"/>
        <v>0</v>
      </c>
      <c r="AW15" s="82">
        <f t="shared" si="33"/>
        <v>0</v>
      </c>
      <c r="AX15" s="81">
        <f t="shared" si="34"/>
        <v>0</v>
      </c>
      <c r="AY15" s="83">
        <f t="shared" si="35"/>
        <v>0</v>
      </c>
      <c r="AZ15" s="83">
        <f t="shared" si="36"/>
        <v>0</v>
      </c>
      <c r="BA15" s="82">
        <f>IF(OR(B15=Feiertage!$A$16,B15=Feiertage!$A$19),U15*Zuschläge_24_31/100,IF(AZ15&gt;0,AZ15*Feiertag_mit/100,IF(AX15&gt;0,AX15*Zuschläge_Sa/100,IF(AY15&gt;0,AY15*Zuschlag_So/100,0))))</f>
        <v>0</v>
      </c>
      <c r="BB15" s="82">
        <f>IF(AND(B15&lt;&gt;0,G15=Voreinstellung_Übersicht!$D$41),IF(EG=1,W15*Über_klein/100,IF(EG=2,W15*Über_groß/100,"Fehler")),0)</f>
        <v>0</v>
      </c>
      <c r="BC15" s="299">
        <f t="shared" ca="1" si="41"/>
        <v>0</v>
      </c>
      <c r="BD15" s="219">
        <f t="shared" ca="1" si="37"/>
        <v>1</v>
      </c>
      <c r="BE15" s="303">
        <f ca="1">IF(B15="","",INDIRECT(ADDRESS(MATCH(B15,Soll_AZ,1)+MATCH("Arbeitszeit 1 ab",Voreinstellung_Übersicht!B:B,0)-1,4,,,"Voreinstellung_Übersicht"),TRUE))</f>
        <v>1.6666666666666665</v>
      </c>
      <c r="BF15" s="1">
        <f t="shared" si="42"/>
        <v>0</v>
      </c>
    </row>
    <row r="16" spans="1:58" s="1" customFormat="1" ht="15" x14ac:dyDescent="0.3">
      <c r="A16" s="218">
        <f t="shared" si="0"/>
        <v>50</v>
      </c>
      <c r="B16" s="47">
        <f t="shared" si="38"/>
        <v>42346</v>
      </c>
      <c r="C16" s="219">
        <f t="shared" si="1"/>
        <v>1</v>
      </c>
      <c r="D16" s="220" t="str">
        <f t="shared" si="2"/>
        <v/>
      </c>
      <c r="E16" s="298" t="str">
        <f t="shared" si="3"/>
        <v/>
      </c>
      <c r="F16" s="87">
        <f t="shared" si="4"/>
        <v>42346</v>
      </c>
      <c r="G16" s="147"/>
      <c r="H16" s="74"/>
      <c r="I16" s="75"/>
      <c r="J16" s="221">
        <f t="shared" si="5"/>
        <v>0</v>
      </c>
      <c r="K16" s="76"/>
      <c r="L16" s="221">
        <f t="shared" si="43"/>
        <v>0</v>
      </c>
      <c r="M16" s="74"/>
      <c r="N16" s="75"/>
      <c r="O16" s="221">
        <f t="shared" si="6"/>
        <v>0</v>
      </c>
      <c r="P16" s="76"/>
      <c r="Q16" s="221">
        <f t="shared" si="44"/>
        <v>0</v>
      </c>
      <c r="R16" s="221">
        <f t="shared" si="45"/>
        <v>0</v>
      </c>
      <c r="S16" s="221">
        <f t="shared" si="7"/>
        <v>0</v>
      </c>
      <c r="T16" s="79">
        <f t="shared" si="8"/>
        <v>0</v>
      </c>
      <c r="U16" s="79">
        <f t="shared" si="39"/>
        <v>0</v>
      </c>
      <c r="V16" s="80">
        <f t="shared" ca="1" si="9"/>
        <v>0.33333333329999998</v>
      </c>
      <c r="W16" s="249" t="str">
        <f t="shared" ca="1" si="10"/>
        <v/>
      </c>
      <c r="X16" s="293"/>
      <c r="Y16" s="221">
        <f t="shared" si="11"/>
        <v>0</v>
      </c>
      <c r="Z16" s="299">
        <f ca="1">IF(B16="","",INDIRECT(ADDRESS(MATCH(B16,Soll_AZ,1)+MATCH("Arbeitszeit 1 ab",Voreinstellung_Übersicht!B:B,0)-1,WEEKDAY(B16,2)+4,,,"Voreinstellung_Übersicht"),TRUE))</f>
        <v>0.33333333333333331</v>
      </c>
      <c r="AA16" s="300">
        <f t="shared" ca="1" si="40"/>
        <v>0</v>
      </c>
      <c r="AB16" s="219">
        <f t="shared" si="12"/>
        <v>0</v>
      </c>
      <c r="AC16" s="219">
        <f t="shared" si="13"/>
        <v>0</v>
      </c>
      <c r="AD16" s="219">
        <f t="shared" si="14"/>
        <v>0</v>
      </c>
      <c r="AE16" s="219">
        <f t="shared" si="15"/>
        <v>0</v>
      </c>
      <c r="AF16" s="219">
        <f t="shared" si="16"/>
        <v>0</v>
      </c>
      <c r="AG16" s="219">
        <f t="shared" si="17"/>
        <v>0</v>
      </c>
      <c r="AH16" s="219">
        <f t="shared" si="18"/>
        <v>0</v>
      </c>
      <c r="AI16" s="219">
        <f t="shared" si="19"/>
        <v>0</v>
      </c>
      <c r="AJ16" s="219">
        <f t="shared" si="20"/>
        <v>0</v>
      </c>
      <c r="AK16" s="219">
        <f t="shared" si="21"/>
        <v>0</v>
      </c>
      <c r="AL16" s="219">
        <f t="shared" si="22"/>
        <v>0</v>
      </c>
      <c r="AM16" s="219">
        <f t="shared" si="23"/>
        <v>0</v>
      </c>
      <c r="AN16" s="301">
        <f t="shared" si="24"/>
        <v>0</v>
      </c>
      <c r="AO16" s="301">
        <f t="shared" si="25"/>
        <v>0</v>
      </c>
      <c r="AP16" s="301">
        <f t="shared" si="26"/>
        <v>0</v>
      </c>
      <c r="AQ16" s="301">
        <f t="shared" si="27"/>
        <v>0</v>
      </c>
      <c r="AR16" s="301">
        <f t="shared" si="28"/>
        <v>0</v>
      </c>
      <c r="AS16" s="301">
        <f t="shared" si="29"/>
        <v>0</v>
      </c>
      <c r="AT16" s="302">
        <f t="shared" si="30"/>
        <v>0</v>
      </c>
      <c r="AU16" s="302">
        <f t="shared" si="31"/>
        <v>0</v>
      </c>
      <c r="AV16" s="81">
        <f t="shared" si="32"/>
        <v>0</v>
      </c>
      <c r="AW16" s="82">
        <f t="shared" si="33"/>
        <v>0</v>
      </c>
      <c r="AX16" s="81">
        <f t="shared" si="34"/>
        <v>0</v>
      </c>
      <c r="AY16" s="83">
        <f t="shared" si="35"/>
        <v>0</v>
      </c>
      <c r="AZ16" s="83">
        <f t="shared" si="36"/>
        <v>0</v>
      </c>
      <c r="BA16" s="82">
        <f>IF(OR(B16=Feiertage!$A$16,B16=Feiertage!$A$19),U16*Zuschläge_24_31/100,IF(AZ16&gt;0,AZ16*Feiertag_mit/100,IF(AX16&gt;0,AX16*Zuschläge_Sa/100,IF(AY16&gt;0,AY16*Zuschlag_So/100,0))))</f>
        <v>0</v>
      </c>
      <c r="BB16" s="82">
        <f>IF(AND(B16&lt;&gt;0,G16=Voreinstellung_Übersicht!$D$41),IF(EG=1,W16*Über_klein/100,IF(EG=2,W16*Über_groß/100,"Fehler")),0)</f>
        <v>0</v>
      </c>
      <c r="BC16" s="299">
        <f t="shared" ca="1" si="41"/>
        <v>0</v>
      </c>
      <c r="BD16" s="219">
        <f t="shared" ca="1" si="37"/>
        <v>1</v>
      </c>
      <c r="BE16" s="303">
        <f ca="1">IF(B16="","",INDIRECT(ADDRESS(MATCH(B16,Soll_AZ,1)+MATCH("Arbeitszeit 1 ab",Voreinstellung_Übersicht!B:B,0)-1,4,,,"Voreinstellung_Übersicht"),TRUE))</f>
        <v>1.6666666666666665</v>
      </c>
      <c r="BF16" s="1">
        <f t="shared" si="42"/>
        <v>0</v>
      </c>
    </row>
    <row r="17" spans="1:58" s="1" customFormat="1" ht="15" x14ac:dyDescent="0.3">
      <c r="A17" s="218">
        <f t="shared" si="0"/>
        <v>50</v>
      </c>
      <c r="B17" s="47">
        <f t="shared" si="38"/>
        <v>42347</v>
      </c>
      <c r="C17" s="219">
        <f t="shared" si="1"/>
        <v>1</v>
      </c>
      <c r="D17" s="220" t="str">
        <f t="shared" si="2"/>
        <v/>
      </c>
      <c r="E17" s="298" t="str">
        <f t="shared" si="3"/>
        <v/>
      </c>
      <c r="F17" s="87">
        <f t="shared" si="4"/>
        <v>42347</v>
      </c>
      <c r="G17" s="147"/>
      <c r="H17" s="74"/>
      <c r="I17" s="75"/>
      <c r="J17" s="221">
        <f t="shared" si="5"/>
        <v>0</v>
      </c>
      <c r="K17" s="76"/>
      <c r="L17" s="221">
        <f t="shared" si="43"/>
        <v>0</v>
      </c>
      <c r="M17" s="74"/>
      <c r="N17" s="75"/>
      <c r="O17" s="221">
        <f t="shared" si="6"/>
        <v>0</v>
      </c>
      <c r="P17" s="76"/>
      <c r="Q17" s="221">
        <f t="shared" si="44"/>
        <v>0</v>
      </c>
      <c r="R17" s="221">
        <f t="shared" si="45"/>
        <v>0</v>
      </c>
      <c r="S17" s="221">
        <f t="shared" si="7"/>
        <v>0</v>
      </c>
      <c r="T17" s="79">
        <f t="shared" si="8"/>
        <v>0</v>
      </c>
      <c r="U17" s="79">
        <f t="shared" si="39"/>
        <v>0</v>
      </c>
      <c r="V17" s="80">
        <f t="shared" ca="1" si="9"/>
        <v>0.33333333329999998</v>
      </c>
      <c r="W17" s="249" t="str">
        <f t="shared" ca="1" si="10"/>
        <v/>
      </c>
      <c r="X17" s="293"/>
      <c r="Y17" s="221">
        <f t="shared" si="11"/>
        <v>0</v>
      </c>
      <c r="Z17" s="299">
        <f ca="1">IF(B17="","",INDIRECT(ADDRESS(MATCH(B17,Soll_AZ,1)+MATCH("Arbeitszeit 1 ab",Voreinstellung_Übersicht!B:B,0)-1,WEEKDAY(B17,2)+4,,,"Voreinstellung_Übersicht"),TRUE))</f>
        <v>0.33333333333333331</v>
      </c>
      <c r="AA17" s="300">
        <f t="shared" ca="1" si="40"/>
        <v>0</v>
      </c>
      <c r="AB17" s="219">
        <f t="shared" si="12"/>
        <v>0</v>
      </c>
      <c r="AC17" s="219">
        <f t="shared" si="13"/>
        <v>0</v>
      </c>
      <c r="AD17" s="219">
        <f t="shared" si="14"/>
        <v>0</v>
      </c>
      <c r="AE17" s="219">
        <f t="shared" si="15"/>
        <v>0</v>
      </c>
      <c r="AF17" s="219">
        <f t="shared" si="16"/>
        <v>0</v>
      </c>
      <c r="AG17" s="219">
        <f t="shared" si="17"/>
        <v>0</v>
      </c>
      <c r="AH17" s="219">
        <f t="shared" si="18"/>
        <v>0</v>
      </c>
      <c r="AI17" s="219">
        <f t="shared" si="19"/>
        <v>0</v>
      </c>
      <c r="AJ17" s="219">
        <f t="shared" si="20"/>
        <v>0</v>
      </c>
      <c r="AK17" s="219">
        <f t="shared" si="21"/>
        <v>0</v>
      </c>
      <c r="AL17" s="219">
        <f t="shared" si="22"/>
        <v>0</v>
      </c>
      <c r="AM17" s="219">
        <f t="shared" si="23"/>
        <v>0</v>
      </c>
      <c r="AN17" s="301">
        <f t="shared" si="24"/>
        <v>0</v>
      </c>
      <c r="AO17" s="301">
        <f t="shared" si="25"/>
        <v>0</v>
      </c>
      <c r="AP17" s="301">
        <f t="shared" si="26"/>
        <v>0</v>
      </c>
      <c r="AQ17" s="301">
        <f t="shared" si="27"/>
        <v>0</v>
      </c>
      <c r="AR17" s="301">
        <f t="shared" si="28"/>
        <v>0</v>
      </c>
      <c r="AS17" s="301">
        <f t="shared" si="29"/>
        <v>0</v>
      </c>
      <c r="AT17" s="302">
        <f t="shared" si="30"/>
        <v>0</v>
      </c>
      <c r="AU17" s="302">
        <f t="shared" si="31"/>
        <v>0</v>
      </c>
      <c r="AV17" s="81">
        <f t="shared" si="32"/>
        <v>0</v>
      </c>
      <c r="AW17" s="82">
        <f t="shared" si="33"/>
        <v>0</v>
      </c>
      <c r="AX17" s="81">
        <f t="shared" si="34"/>
        <v>0</v>
      </c>
      <c r="AY17" s="83">
        <f t="shared" si="35"/>
        <v>0</v>
      </c>
      <c r="AZ17" s="83">
        <f t="shared" si="36"/>
        <v>0</v>
      </c>
      <c r="BA17" s="82">
        <f>IF(OR(B17=Feiertage!$A$16,B17=Feiertage!$A$19),U17*Zuschläge_24_31/100,IF(AZ17&gt;0,AZ17*Feiertag_mit/100,IF(AX17&gt;0,AX17*Zuschläge_Sa/100,IF(AY17&gt;0,AY17*Zuschlag_So/100,0))))</f>
        <v>0</v>
      </c>
      <c r="BB17" s="82">
        <f>IF(AND(B17&lt;&gt;0,G17=Voreinstellung_Übersicht!$D$41),IF(EG=1,W17*Über_klein/100,IF(EG=2,W17*Über_groß/100,"Fehler")),0)</f>
        <v>0</v>
      </c>
      <c r="BC17" s="299">
        <f t="shared" ca="1" si="41"/>
        <v>0</v>
      </c>
      <c r="BD17" s="219">
        <f t="shared" ca="1" si="37"/>
        <v>1</v>
      </c>
      <c r="BE17" s="303">
        <f ca="1">IF(B17="","",INDIRECT(ADDRESS(MATCH(B17,Soll_AZ,1)+MATCH("Arbeitszeit 1 ab",Voreinstellung_Übersicht!B:B,0)-1,4,,,"Voreinstellung_Übersicht"),TRUE))</f>
        <v>1.6666666666666665</v>
      </c>
      <c r="BF17" s="1">
        <f t="shared" si="42"/>
        <v>0</v>
      </c>
    </row>
    <row r="18" spans="1:58" s="1" customFormat="1" ht="15" x14ac:dyDescent="0.3">
      <c r="A18" s="218">
        <f t="shared" si="0"/>
        <v>50</v>
      </c>
      <c r="B18" s="47">
        <f t="shared" si="38"/>
        <v>42348</v>
      </c>
      <c r="C18" s="219">
        <f t="shared" si="1"/>
        <v>1</v>
      </c>
      <c r="D18" s="220" t="str">
        <f t="shared" si="2"/>
        <v/>
      </c>
      <c r="E18" s="298" t="str">
        <f t="shared" si="3"/>
        <v/>
      </c>
      <c r="F18" s="87">
        <f t="shared" si="4"/>
        <v>42348</v>
      </c>
      <c r="G18" s="147"/>
      <c r="H18" s="74"/>
      <c r="I18" s="75"/>
      <c r="J18" s="221">
        <f t="shared" si="5"/>
        <v>0</v>
      </c>
      <c r="K18" s="76"/>
      <c r="L18" s="221">
        <f t="shared" si="43"/>
        <v>0</v>
      </c>
      <c r="M18" s="74"/>
      <c r="N18" s="75"/>
      <c r="O18" s="221">
        <f t="shared" si="6"/>
        <v>0</v>
      </c>
      <c r="P18" s="76"/>
      <c r="Q18" s="221">
        <f t="shared" si="44"/>
        <v>0</v>
      </c>
      <c r="R18" s="221">
        <f t="shared" si="45"/>
        <v>0</v>
      </c>
      <c r="S18" s="221">
        <f t="shared" si="7"/>
        <v>0</v>
      </c>
      <c r="T18" s="79">
        <f t="shared" si="8"/>
        <v>0</v>
      </c>
      <c r="U18" s="79">
        <f t="shared" si="39"/>
        <v>0</v>
      </c>
      <c r="V18" s="80">
        <f t="shared" ca="1" si="9"/>
        <v>0.33333333329999998</v>
      </c>
      <c r="W18" s="249" t="str">
        <f t="shared" ca="1" si="10"/>
        <v/>
      </c>
      <c r="X18" s="293"/>
      <c r="Y18" s="221">
        <f t="shared" si="11"/>
        <v>0</v>
      </c>
      <c r="Z18" s="299">
        <f ca="1">IF(B18="","",INDIRECT(ADDRESS(MATCH(B18,Soll_AZ,1)+MATCH("Arbeitszeit 1 ab",Voreinstellung_Übersicht!B:B,0)-1,WEEKDAY(B18,2)+4,,,"Voreinstellung_Übersicht"),TRUE))</f>
        <v>0.33333333333333331</v>
      </c>
      <c r="AA18" s="300">
        <f t="shared" ca="1" si="40"/>
        <v>0</v>
      </c>
      <c r="AB18" s="219">
        <f t="shared" si="12"/>
        <v>0</v>
      </c>
      <c r="AC18" s="219">
        <f t="shared" si="13"/>
        <v>0</v>
      </c>
      <c r="AD18" s="219">
        <f t="shared" si="14"/>
        <v>0</v>
      </c>
      <c r="AE18" s="219">
        <f t="shared" si="15"/>
        <v>0</v>
      </c>
      <c r="AF18" s="219">
        <f t="shared" si="16"/>
        <v>0</v>
      </c>
      <c r="AG18" s="219">
        <f t="shared" si="17"/>
        <v>0</v>
      </c>
      <c r="AH18" s="219">
        <f t="shared" si="18"/>
        <v>0</v>
      </c>
      <c r="AI18" s="219">
        <f t="shared" si="19"/>
        <v>0</v>
      </c>
      <c r="AJ18" s="219">
        <f t="shared" si="20"/>
        <v>0</v>
      </c>
      <c r="AK18" s="219">
        <f t="shared" si="21"/>
        <v>0</v>
      </c>
      <c r="AL18" s="219">
        <f t="shared" si="22"/>
        <v>0</v>
      </c>
      <c r="AM18" s="219">
        <f t="shared" si="23"/>
        <v>0</v>
      </c>
      <c r="AN18" s="301">
        <f t="shared" si="24"/>
        <v>0</v>
      </c>
      <c r="AO18" s="301">
        <f t="shared" si="25"/>
        <v>0</v>
      </c>
      <c r="AP18" s="301">
        <f t="shared" si="26"/>
        <v>0</v>
      </c>
      <c r="AQ18" s="301">
        <f t="shared" si="27"/>
        <v>0</v>
      </c>
      <c r="AR18" s="301">
        <f t="shared" si="28"/>
        <v>0</v>
      </c>
      <c r="AS18" s="301">
        <f t="shared" si="29"/>
        <v>0</v>
      </c>
      <c r="AT18" s="302">
        <f t="shared" si="30"/>
        <v>0</v>
      </c>
      <c r="AU18" s="302">
        <f t="shared" si="31"/>
        <v>0</v>
      </c>
      <c r="AV18" s="81">
        <f t="shared" si="32"/>
        <v>0</v>
      </c>
      <c r="AW18" s="82">
        <f t="shared" si="33"/>
        <v>0</v>
      </c>
      <c r="AX18" s="81">
        <f t="shared" si="34"/>
        <v>0</v>
      </c>
      <c r="AY18" s="83">
        <f t="shared" si="35"/>
        <v>0</v>
      </c>
      <c r="AZ18" s="83">
        <f t="shared" si="36"/>
        <v>0</v>
      </c>
      <c r="BA18" s="82">
        <f>IF(OR(B18=Feiertage!$A$16,B18=Feiertage!$A$19),U18*Zuschläge_24_31/100,IF(AZ18&gt;0,AZ18*Feiertag_mit/100,IF(AX18&gt;0,AX18*Zuschläge_Sa/100,IF(AY18&gt;0,AY18*Zuschlag_So/100,0))))</f>
        <v>0</v>
      </c>
      <c r="BB18" s="82">
        <f>IF(AND(B18&lt;&gt;0,G18=Voreinstellung_Übersicht!$D$41),IF(EG=1,W18*Über_klein/100,IF(EG=2,W18*Über_groß/100,"Fehler")),0)</f>
        <v>0</v>
      </c>
      <c r="BC18" s="299">
        <f t="shared" ca="1" si="41"/>
        <v>0</v>
      </c>
      <c r="BD18" s="219">
        <f t="shared" ca="1" si="37"/>
        <v>1</v>
      </c>
      <c r="BE18" s="303">
        <f ca="1">IF(B18="","",INDIRECT(ADDRESS(MATCH(B18,Soll_AZ,1)+MATCH("Arbeitszeit 1 ab",Voreinstellung_Übersicht!B:B,0)-1,4,,,"Voreinstellung_Übersicht"),TRUE))</f>
        <v>1.6666666666666665</v>
      </c>
      <c r="BF18" s="1">
        <f t="shared" si="42"/>
        <v>0</v>
      </c>
    </row>
    <row r="19" spans="1:58" s="1" customFormat="1" ht="15" x14ac:dyDescent="0.3">
      <c r="A19" s="218">
        <f t="shared" si="0"/>
        <v>50</v>
      </c>
      <c r="B19" s="47">
        <f t="shared" si="38"/>
        <v>42349</v>
      </c>
      <c r="C19" s="219">
        <f t="shared" si="1"/>
        <v>1</v>
      </c>
      <c r="D19" s="220" t="str">
        <f t="shared" si="2"/>
        <v/>
      </c>
      <c r="E19" s="298" t="str">
        <f t="shared" si="3"/>
        <v/>
      </c>
      <c r="F19" s="87">
        <f t="shared" si="4"/>
        <v>42349</v>
      </c>
      <c r="G19" s="147"/>
      <c r="H19" s="74"/>
      <c r="I19" s="75"/>
      <c r="J19" s="221">
        <f t="shared" si="5"/>
        <v>0</v>
      </c>
      <c r="K19" s="76"/>
      <c r="L19" s="221">
        <f t="shared" si="43"/>
        <v>0</v>
      </c>
      <c r="M19" s="74"/>
      <c r="N19" s="75"/>
      <c r="O19" s="221">
        <f t="shared" si="6"/>
        <v>0</v>
      </c>
      <c r="P19" s="76"/>
      <c r="Q19" s="221">
        <f t="shared" si="44"/>
        <v>0</v>
      </c>
      <c r="R19" s="221">
        <f t="shared" si="45"/>
        <v>0</v>
      </c>
      <c r="S19" s="221">
        <f t="shared" si="7"/>
        <v>0</v>
      </c>
      <c r="T19" s="79">
        <f t="shared" si="8"/>
        <v>0</v>
      </c>
      <c r="U19" s="79">
        <f t="shared" si="39"/>
        <v>0</v>
      </c>
      <c r="V19" s="80">
        <f t="shared" ca="1" si="9"/>
        <v>0.33333333329999998</v>
      </c>
      <c r="W19" s="249" t="str">
        <f t="shared" ca="1" si="10"/>
        <v/>
      </c>
      <c r="X19" s="293"/>
      <c r="Y19" s="221">
        <f t="shared" si="11"/>
        <v>0</v>
      </c>
      <c r="Z19" s="299">
        <f ca="1">IF(B19="","",INDIRECT(ADDRESS(MATCH(B19,Soll_AZ,1)+MATCH("Arbeitszeit 1 ab",Voreinstellung_Übersicht!B:B,0)-1,WEEKDAY(B19,2)+4,,,"Voreinstellung_Übersicht"),TRUE))</f>
        <v>0.33333333333333331</v>
      </c>
      <c r="AA19" s="300">
        <f t="shared" ca="1" si="40"/>
        <v>0</v>
      </c>
      <c r="AB19" s="219">
        <f t="shared" si="12"/>
        <v>0</v>
      </c>
      <c r="AC19" s="219">
        <f t="shared" si="13"/>
        <v>0</v>
      </c>
      <c r="AD19" s="219">
        <f t="shared" si="14"/>
        <v>0</v>
      </c>
      <c r="AE19" s="219">
        <f t="shared" si="15"/>
        <v>0</v>
      </c>
      <c r="AF19" s="219">
        <f t="shared" si="16"/>
        <v>0</v>
      </c>
      <c r="AG19" s="219">
        <f t="shared" si="17"/>
        <v>0</v>
      </c>
      <c r="AH19" s="219">
        <f t="shared" si="18"/>
        <v>0</v>
      </c>
      <c r="AI19" s="219">
        <f t="shared" si="19"/>
        <v>0</v>
      </c>
      <c r="AJ19" s="219">
        <f t="shared" si="20"/>
        <v>0</v>
      </c>
      <c r="AK19" s="219">
        <f t="shared" si="21"/>
        <v>0</v>
      </c>
      <c r="AL19" s="219">
        <f t="shared" si="22"/>
        <v>0</v>
      </c>
      <c r="AM19" s="219">
        <f t="shared" si="23"/>
        <v>0</v>
      </c>
      <c r="AN19" s="301">
        <f t="shared" si="24"/>
        <v>0</v>
      </c>
      <c r="AO19" s="301">
        <f t="shared" si="25"/>
        <v>0</v>
      </c>
      <c r="AP19" s="301">
        <f t="shared" si="26"/>
        <v>0</v>
      </c>
      <c r="AQ19" s="301">
        <f t="shared" si="27"/>
        <v>0</v>
      </c>
      <c r="AR19" s="301">
        <f t="shared" si="28"/>
        <v>0</v>
      </c>
      <c r="AS19" s="301">
        <f t="shared" si="29"/>
        <v>0</v>
      </c>
      <c r="AT19" s="302">
        <f t="shared" si="30"/>
        <v>0</v>
      </c>
      <c r="AU19" s="302">
        <f t="shared" si="31"/>
        <v>0</v>
      </c>
      <c r="AV19" s="81">
        <f t="shared" si="32"/>
        <v>0</v>
      </c>
      <c r="AW19" s="82">
        <f t="shared" si="33"/>
        <v>0</v>
      </c>
      <c r="AX19" s="81">
        <f t="shared" si="34"/>
        <v>0</v>
      </c>
      <c r="AY19" s="83">
        <f t="shared" si="35"/>
        <v>0</v>
      </c>
      <c r="AZ19" s="83">
        <f t="shared" si="36"/>
        <v>0</v>
      </c>
      <c r="BA19" s="82">
        <f>IF(OR(B19=Feiertage!$A$16,B19=Feiertage!$A$19),U19*Zuschläge_24_31/100,IF(AZ19&gt;0,AZ19*Feiertag_mit/100,IF(AX19&gt;0,AX19*Zuschläge_Sa/100,IF(AY19&gt;0,AY19*Zuschlag_So/100,0))))</f>
        <v>0</v>
      </c>
      <c r="BB19" s="82">
        <f>IF(AND(B19&lt;&gt;0,G19=Voreinstellung_Übersicht!$D$41),IF(EG=1,W19*Über_klein/100,IF(EG=2,W19*Über_groß/100,"Fehler")),0)</f>
        <v>0</v>
      </c>
      <c r="BC19" s="299">
        <f t="shared" ca="1" si="41"/>
        <v>0</v>
      </c>
      <c r="BD19" s="219">
        <f t="shared" ca="1" si="37"/>
        <v>1</v>
      </c>
      <c r="BE19" s="303">
        <f ca="1">IF(B19="","",INDIRECT(ADDRESS(MATCH(B19,Soll_AZ,1)+MATCH("Arbeitszeit 1 ab",Voreinstellung_Übersicht!B:B,0)-1,4,,,"Voreinstellung_Übersicht"),TRUE))</f>
        <v>1.6666666666666665</v>
      </c>
      <c r="BF19" s="1">
        <f t="shared" si="42"/>
        <v>0</v>
      </c>
    </row>
    <row r="20" spans="1:58" s="1" customFormat="1" ht="15" x14ac:dyDescent="0.3">
      <c r="A20" s="218">
        <f t="shared" si="0"/>
        <v>50</v>
      </c>
      <c r="B20" s="47">
        <f t="shared" si="38"/>
        <v>42350</v>
      </c>
      <c r="C20" s="219">
        <f t="shared" si="1"/>
        <v>1</v>
      </c>
      <c r="D20" s="220" t="str">
        <f t="shared" si="2"/>
        <v/>
      </c>
      <c r="E20" s="298" t="str">
        <f t="shared" si="3"/>
        <v/>
      </c>
      <c r="F20" s="87">
        <f t="shared" si="4"/>
        <v>42350</v>
      </c>
      <c r="G20" s="147"/>
      <c r="H20" s="74"/>
      <c r="I20" s="75"/>
      <c r="J20" s="221">
        <f t="shared" si="5"/>
        <v>0</v>
      </c>
      <c r="K20" s="76"/>
      <c r="L20" s="221">
        <f t="shared" si="43"/>
        <v>0</v>
      </c>
      <c r="M20" s="74"/>
      <c r="N20" s="75"/>
      <c r="O20" s="221">
        <f t="shared" si="6"/>
        <v>0</v>
      </c>
      <c r="P20" s="76"/>
      <c r="Q20" s="221">
        <f t="shared" si="44"/>
        <v>0</v>
      </c>
      <c r="R20" s="221">
        <f t="shared" si="45"/>
        <v>0</v>
      </c>
      <c r="S20" s="221">
        <f t="shared" si="7"/>
        <v>0</v>
      </c>
      <c r="T20" s="79">
        <f t="shared" si="8"/>
        <v>0</v>
      </c>
      <c r="U20" s="79">
        <f t="shared" si="39"/>
        <v>0</v>
      </c>
      <c r="V20" s="80">
        <f t="shared" ca="1" si="9"/>
        <v>0.33333333329999998</v>
      </c>
      <c r="W20" s="249" t="str">
        <f t="shared" ca="1" si="10"/>
        <v/>
      </c>
      <c r="X20" s="293"/>
      <c r="Y20" s="221">
        <f t="shared" si="11"/>
        <v>0</v>
      </c>
      <c r="Z20" s="299">
        <f ca="1">IF(B20="","",INDIRECT(ADDRESS(MATCH(B20,Soll_AZ,1)+MATCH("Arbeitszeit 1 ab",Voreinstellung_Übersicht!B:B,0)-1,WEEKDAY(B20,2)+4,,,"Voreinstellung_Übersicht"),TRUE))</f>
        <v>0.33333333333333331</v>
      </c>
      <c r="AA20" s="300">
        <f t="shared" ca="1" si="40"/>
        <v>0</v>
      </c>
      <c r="AB20" s="219">
        <f t="shared" si="12"/>
        <v>0</v>
      </c>
      <c r="AC20" s="219">
        <f t="shared" si="13"/>
        <v>0</v>
      </c>
      <c r="AD20" s="219">
        <f t="shared" si="14"/>
        <v>0</v>
      </c>
      <c r="AE20" s="219">
        <f t="shared" si="15"/>
        <v>0</v>
      </c>
      <c r="AF20" s="219">
        <f t="shared" si="16"/>
        <v>0</v>
      </c>
      <c r="AG20" s="219">
        <f t="shared" si="17"/>
        <v>0</v>
      </c>
      <c r="AH20" s="219">
        <f t="shared" si="18"/>
        <v>0</v>
      </c>
      <c r="AI20" s="219">
        <f t="shared" si="19"/>
        <v>0</v>
      </c>
      <c r="AJ20" s="219">
        <f t="shared" si="20"/>
        <v>0</v>
      </c>
      <c r="AK20" s="219">
        <f t="shared" si="21"/>
        <v>0</v>
      </c>
      <c r="AL20" s="219">
        <f t="shared" si="22"/>
        <v>0</v>
      </c>
      <c r="AM20" s="219">
        <f t="shared" si="23"/>
        <v>0</v>
      </c>
      <c r="AN20" s="301">
        <f t="shared" si="24"/>
        <v>0</v>
      </c>
      <c r="AO20" s="301">
        <f t="shared" si="25"/>
        <v>0</v>
      </c>
      <c r="AP20" s="301">
        <f t="shared" si="26"/>
        <v>0</v>
      </c>
      <c r="AQ20" s="301">
        <f t="shared" si="27"/>
        <v>0</v>
      </c>
      <c r="AR20" s="301">
        <f t="shared" si="28"/>
        <v>0</v>
      </c>
      <c r="AS20" s="301">
        <f t="shared" si="29"/>
        <v>0</v>
      </c>
      <c r="AT20" s="302">
        <f t="shared" si="30"/>
        <v>0</v>
      </c>
      <c r="AU20" s="302">
        <f t="shared" si="31"/>
        <v>0</v>
      </c>
      <c r="AV20" s="81">
        <f t="shared" si="32"/>
        <v>0</v>
      </c>
      <c r="AW20" s="82">
        <f t="shared" si="33"/>
        <v>0</v>
      </c>
      <c r="AX20" s="81">
        <f t="shared" si="34"/>
        <v>0</v>
      </c>
      <c r="AY20" s="83">
        <f t="shared" si="35"/>
        <v>0</v>
      </c>
      <c r="AZ20" s="83">
        <f t="shared" si="36"/>
        <v>0</v>
      </c>
      <c r="BA20" s="82">
        <f>IF(OR(B20=Feiertage!$A$16,B20=Feiertage!$A$19),U20*Zuschläge_24_31/100,IF(AZ20&gt;0,AZ20*Feiertag_mit/100,IF(AX20&gt;0,AX20*Zuschläge_Sa/100,IF(AY20&gt;0,AY20*Zuschlag_So/100,0))))</f>
        <v>0</v>
      </c>
      <c r="BB20" s="82">
        <f>IF(AND(B20&lt;&gt;0,G20=Voreinstellung_Übersicht!$D$41),IF(EG=1,W20*Über_klein/100,IF(EG=2,W20*Über_groß/100,"Fehler")),0)</f>
        <v>0</v>
      </c>
      <c r="BC20" s="299">
        <f t="shared" ca="1" si="41"/>
        <v>0</v>
      </c>
      <c r="BD20" s="219">
        <f t="shared" ca="1" si="37"/>
        <v>1</v>
      </c>
      <c r="BE20" s="303">
        <f ca="1">IF(B20="","",INDIRECT(ADDRESS(MATCH(B20,Soll_AZ,1)+MATCH("Arbeitszeit 1 ab",Voreinstellung_Übersicht!B:B,0)-1,4,,,"Voreinstellung_Übersicht"),TRUE))</f>
        <v>1.6666666666666665</v>
      </c>
      <c r="BF20" s="1">
        <f t="shared" si="42"/>
        <v>0</v>
      </c>
    </row>
    <row r="21" spans="1:58" s="1" customFormat="1" ht="15" x14ac:dyDescent="0.3">
      <c r="A21" s="218">
        <f t="shared" si="0"/>
        <v>50</v>
      </c>
      <c r="B21" s="47">
        <f t="shared" si="38"/>
        <v>42351</v>
      </c>
      <c r="C21" s="219">
        <f t="shared" si="1"/>
        <v>0</v>
      </c>
      <c r="D21" s="220" t="str">
        <f t="shared" si="2"/>
        <v/>
      </c>
      <c r="E21" s="298" t="str">
        <f t="shared" si="3"/>
        <v/>
      </c>
      <c r="F21" s="87">
        <f t="shared" si="4"/>
        <v>42351</v>
      </c>
      <c r="G21" s="147"/>
      <c r="H21" s="74"/>
      <c r="I21" s="75"/>
      <c r="J21" s="221">
        <f t="shared" si="5"/>
        <v>0</v>
      </c>
      <c r="K21" s="76"/>
      <c r="L21" s="221">
        <f t="shared" si="43"/>
        <v>0</v>
      </c>
      <c r="M21" s="74"/>
      <c r="N21" s="75"/>
      <c r="O21" s="221">
        <f t="shared" si="6"/>
        <v>0</v>
      </c>
      <c r="P21" s="76"/>
      <c r="Q21" s="221">
        <f t="shared" si="44"/>
        <v>0</v>
      </c>
      <c r="R21" s="221">
        <f t="shared" si="45"/>
        <v>0</v>
      </c>
      <c r="S21" s="221">
        <f t="shared" si="7"/>
        <v>0</v>
      </c>
      <c r="T21" s="79">
        <f t="shared" si="8"/>
        <v>0</v>
      </c>
      <c r="U21" s="79">
        <f t="shared" si="39"/>
        <v>0</v>
      </c>
      <c r="V21" s="80">
        <f t="shared" ca="1" si="9"/>
        <v>0</v>
      </c>
      <c r="W21" s="249" t="str">
        <f t="shared" ca="1" si="10"/>
        <v/>
      </c>
      <c r="X21" s="293"/>
      <c r="Y21" s="221">
        <f t="shared" si="11"/>
        <v>0</v>
      </c>
      <c r="Z21" s="299">
        <f ca="1">IF(B21="","",INDIRECT(ADDRESS(MATCH(B21,Soll_AZ,1)+MATCH("Arbeitszeit 1 ab",Voreinstellung_Übersicht!B:B,0)-1,WEEKDAY(B21,2)+4,,,"Voreinstellung_Übersicht"),TRUE))</f>
        <v>0</v>
      </c>
      <c r="AA21" s="300">
        <f t="shared" ca="1" si="40"/>
        <v>0</v>
      </c>
      <c r="AB21" s="219">
        <f t="shared" si="12"/>
        <v>0</v>
      </c>
      <c r="AC21" s="219">
        <f t="shared" si="13"/>
        <v>0</v>
      </c>
      <c r="AD21" s="219">
        <f t="shared" si="14"/>
        <v>0</v>
      </c>
      <c r="AE21" s="219">
        <f t="shared" si="15"/>
        <v>0</v>
      </c>
      <c r="AF21" s="219">
        <f t="shared" si="16"/>
        <v>0</v>
      </c>
      <c r="AG21" s="219">
        <f t="shared" si="17"/>
        <v>0</v>
      </c>
      <c r="AH21" s="219">
        <f t="shared" si="18"/>
        <v>0</v>
      </c>
      <c r="AI21" s="219">
        <f t="shared" si="19"/>
        <v>0</v>
      </c>
      <c r="AJ21" s="219">
        <f t="shared" si="20"/>
        <v>0</v>
      </c>
      <c r="AK21" s="219">
        <f t="shared" si="21"/>
        <v>0</v>
      </c>
      <c r="AL21" s="219">
        <f t="shared" si="22"/>
        <v>0</v>
      </c>
      <c r="AM21" s="219">
        <f t="shared" si="23"/>
        <v>0</v>
      </c>
      <c r="AN21" s="301">
        <f t="shared" si="24"/>
        <v>0</v>
      </c>
      <c r="AO21" s="301">
        <f t="shared" si="25"/>
        <v>0</v>
      </c>
      <c r="AP21" s="301">
        <f t="shared" si="26"/>
        <v>0</v>
      </c>
      <c r="AQ21" s="301">
        <f t="shared" si="27"/>
        <v>0</v>
      </c>
      <c r="AR21" s="301">
        <f t="shared" si="28"/>
        <v>0</v>
      </c>
      <c r="AS21" s="301">
        <f t="shared" si="29"/>
        <v>0</v>
      </c>
      <c r="AT21" s="302">
        <f t="shared" si="30"/>
        <v>0</v>
      </c>
      <c r="AU21" s="302">
        <f t="shared" si="31"/>
        <v>0</v>
      </c>
      <c r="AV21" s="81">
        <f t="shared" si="32"/>
        <v>0</v>
      </c>
      <c r="AW21" s="82">
        <f t="shared" si="33"/>
        <v>0</v>
      </c>
      <c r="AX21" s="81">
        <f t="shared" si="34"/>
        <v>0</v>
      </c>
      <c r="AY21" s="83">
        <f t="shared" si="35"/>
        <v>0</v>
      </c>
      <c r="AZ21" s="83">
        <f t="shared" si="36"/>
        <v>0</v>
      </c>
      <c r="BA21" s="82">
        <f>IF(OR(B21=Feiertage!$A$16,B21=Feiertage!$A$19),U21*Zuschläge_24_31/100,IF(AZ21&gt;0,AZ21*Feiertag_mit/100,IF(AX21&gt;0,AX21*Zuschläge_Sa/100,IF(AY21&gt;0,AY21*Zuschlag_So/100,0))))</f>
        <v>0</v>
      </c>
      <c r="BB21" s="82">
        <f>IF(AND(B21&lt;&gt;0,G21=Voreinstellung_Übersicht!$D$41),IF(EG=1,W21*Über_klein/100,IF(EG=2,W21*Über_groß/100,"Fehler")),0)</f>
        <v>0</v>
      </c>
      <c r="BC21" s="299">
        <f t="shared" ca="1" si="41"/>
        <v>0</v>
      </c>
      <c r="BD21" s="219">
        <f t="shared" ca="1" si="37"/>
        <v>1</v>
      </c>
      <c r="BE21" s="303">
        <f ca="1">IF(B21="","",INDIRECT(ADDRESS(MATCH(B21,Soll_AZ,1)+MATCH("Arbeitszeit 1 ab",Voreinstellung_Übersicht!B:B,0)-1,4,,,"Voreinstellung_Übersicht"),TRUE))</f>
        <v>1.6666666666666665</v>
      </c>
      <c r="BF21" s="1">
        <f t="shared" si="42"/>
        <v>0</v>
      </c>
    </row>
    <row r="22" spans="1:58" s="1" customFormat="1" ht="15" x14ac:dyDescent="0.3">
      <c r="A22" s="218">
        <f t="shared" si="0"/>
        <v>51</v>
      </c>
      <c r="B22" s="47">
        <f t="shared" si="38"/>
        <v>42352</v>
      </c>
      <c r="C22" s="219">
        <f t="shared" si="1"/>
        <v>0</v>
      </c>
      <c r="D22" s="220" t="str">
        <f t="shared" si="2"/>
        <v/>
      </c>
      <c r="E22" s="298" t="str">
        <f t="shared" si="3"/>
        <v/>
      </c>
      <c r="F22" s="87">
        <f t="shared" si="4"/>
        <v>42352</v>
      </c>
      <c r="G22" s="147"/>
      <c r="H22" s="74"/>
      <c r="I22" s="75"/>
      <c r="J22" s="221">
        <f t="shared" si="5"/>
        <v>0</v>
      </c>
      <c r="K22" s="76"/>
      <c r="L22" s="221">
        <f t="shared" si="43"/>
        <v>0</v>
      </c>
      <c r="M22" s="74"/>
      <c r="N22" s="75"/>
      <c r="O22" s="221">
        <f t="shared" si="6"/>
        <v>0</v>
      </c>
      <c r="P22" s="76"/>
      <c r="Q22" s="221">
        <f t="shared" si="44"/>
        <v>0</v>
      </c>
      <c r="R22" s="221">
        <f t="shared" si="45"/>
        <v>0</v>
      </c>
      <c r="S22" s="221">
        <f t="shared" si="7"/>
        <v>0</v>
      </c>
      <c r="T22" s="79">
        <f t="shared" si="8"/>
        <v>0</v>
      </c>
      <c r="U22" s="79">
        <f t="shared" si="39"/>
        <v>0</v>
      </c>
      <c r="V22" s="80">
        <f t="shared" ca="1" si="9"/>
        <v>0</v>
      </c>
      <c r="W22" s="249" t="str">
        <f t="shared" ca="1" si="10"/>
        <v/>
      </c>
      <c r="X22" s="293"/>
      <c r="Y22" s="221">
        <f t="shared" si="11"/>
        <v>0</v>
      </c>
      <c r="Z22" s="299">
        <f ca="1">IF(B22="","",INDIRECT(ADDRESS(MATCH(B22,Soll_AZ,1)+MATCH("Arbeitszeit 1 ab",Voreinstellung_Übersicht!B:B,0)-1,WEEKDAY(B22,2)+4,,,"Voreinstellung_Übersicht"),TRUE))</f>
        <v>0</v>
      </c>
      <c r="AA22" s="300">
        <f t="shared" ca="1" si="40"/>
        <v>0</v>
      </c>
      <c r="AB22" s="219">
        <f t="shared" si="12"/>
        <v>0</v>
      </c>
      <c r="AC22" s="219">
        <f t="shared" si="13"/>
        <v>0</v>
      </c>
      <c r="AD22" s="219">
        <f t="shared" si="14"/>
        <v>0</v>
      </c>
      <c r="AE22" s="219">
        <f t="shared" si="15"/>
        <v>0</v>
      </c>
      <c r="AF22" s="219">
        <f t="shared" si="16"/>
        <v>0</v>
      </c>
      <c r="AG22" s="219">
        <f t="shared" si="17"/>
        <v>0</v>
      </c>
      <c r="AH22" s="219">
        <f t="shared" si="18"/>
        <v>0</v>
      </c>
      <c r="AI22" s="219">
        <f t="shared" si="19"/>
        <v>0</v>
      </c>
      <c r="AJ22" s="219">
        <f t="shared" si="20"/>
        <v>0</v>
      </c>
      <c r="AK22" s="219">
        <f t="shared" si="21"/>
        <v>0</v>
      </c>
      <c r="AL22" s="219">
        <f t="shared" si="22"/>
        <v>0</v>
      </c>
      <c r="AM22" s="219">
        <f t="shared" si="23"/>
        <v>0</v>
      </c>
      <c r="AN22" s="301">
        <f t="shared" si="24"/>
        <v>0</v>
      </c>
      <c r="AO22" s="301">
        <f t="shared" si="25"/>
        <v>0</v>
      </c>
      <c r="AP22" s="301">
        <f t="shared" si="26"/>
        <v>0</v>
      </c>
      <c r="AQ22" s="301">
        <f t="shared" si="27"/>
        <v>0</v>
      </c>
      <c r="AR22" s="301">
        <f t="shared" si="28"/>
        <v>0</v>
      </c>
      <c r="AS22" s="301">
        <f t="shared" si="29"/>
        <v>0</v>
      </c>
      <c r="AT22" s="302">
        <f t="shared" si="30"/>
        <v>0</v>
      </c>
      <c r="AU22" s="302">
        <f t="shared" si="31"/>
        <v>0</v>
      </c>
      <c r="AV22" s="81">
        <f t="shared" si="32"/>
        <v>0</v>
      </c>
      <c r="AW22" s="82">
        <f t="shared" si="33"/>
        <v>0</v>
      </c>
      <c r="AX22" s="81">
        <f t="shared" si="34"/>
        <v>0</v>
      </c>
      <c r="AY22" s="83">
        <f t="shared" si="35"/>
        <v>0</v>
      </c>
      <c r="AZ22" s="83">
        <f t="shared" si="36"/>
        <v>0</v>
      </c>
      <c r="BA22" s="82">
        <f>IF(OR(B22=Feiertage!$A$16,B22=Feiertage!$A$19),U22*Zuschläge_24_31/100,IF(AZ22&gt;0,AZ22*Feiertag_mit/100,IF(AX22&gt;0,AX22*Zuschläge_Sa/100,IF(AY22&gt;0,AY22*Zuschlag_So/100,0))))</f>
        <v>0</v>
      </c>
      <c r="BB22" s="82">
        <f>IF(AND(B22&lt;&gt;0,G22=Voreinstellung_Übersicht!$D$41),IF(EG=1,W22*Über_klein/100,IF(EG=2,W22*Über_groß/100,"Fehler")),0)</f>
        <v>0</v>
      </c>
      <c r="BC22" s="299">
        <f t="shared" ca="1" si="41"/>
        <v>0</v>
      </c>
      <c r="BD22" s="219">
        <f t="shared" ca="1" si="37"/>
        <v>1</v>
      </c>
      <c r="BE22" s="303">
        <f ca="1">IF(B22="","",INDIRECT(ADDRESS(MATCH(B22,Soll_AZ,1)+MATCH("Arbeitszeit 1 ab",Voreinstellung_Übersicht!B:B,0)-1,4,,,"Voreinstellung_Übersicht"),TRUE))</f>
        <v>1.6666666666666665</v>
      </c>
      <c r="BF22" s="1">
        <f t="shared" si="42"/>
        <v>0</v>
      </c>
    </row>
    <row r="23" spans="1:58" s="1" customFormat="1" ht="15" x14ac:dyDescent="0.3">
      <c r="A23" s="218">
        <f t="shared" si="0"/>
        <v>51</v>
      </c>
      <c r="B23" s="47">
        <f t="shared" si="38"/>
        <v>42353</v>
      </c>
      <c r="C23" s="219">
        <f t="shared" si="1"/>
        <v>1</v>
      </c>
      <c r="D23" s="220" t="str">
        <f t="shared" si="2"/>
        <v/>
      </c>
      <c r="E23" s="298" t="str">
        <f t="shared" si="3"/>
        <v/>
      </c>
      <c r="F23" s="87">
        <f t="shared" si="4"/>
        <v>42353</v>
      </c>
      <c r="G23" s="147"/>
      <c r="H23" s="74"/>
      <c r="I23" s="75"/>
      <c r="J23" s="221">
        <f t="shared" si="5"/>
        <v>0</v>
      </c>
      <c r="K23" s="76"/>
      <c r="L23" s="221">
        <f t="shared" si="43"/>
        <v>0</v>
      </c>
      <c r="M23" s="74"/>
      <c r="N23" s="75"/>
      <c r="O23" s="221">
        <f t="shared" si="6"/>
        <v>0</v>
      </c>
      <c r="P23" s="76"/>
      <c r="Q23" s="221">
        <f t="shared" si="44"/>
        <v>0</v>
      </c>
      <c r="R23" s="221">
        <f t="shared" si="45"/>
        <v>0</v>
      </c>
      <c r="S23" s="221">
        <f t="shared" si="7"/>
        <v>0</v>
      </c>
      <c r="T23" s="79">
        <f t="shared" si="8"/>
        <v>0</v>
      </c>
      <c r="U23" s="79">
        <f t="shared" si="39"/>
        <v>0</v>
      </c>
      <c r="V23" s="80">
        <f t="shared" ca="1" si="9"/>
        <v>0.33333333329999998</v>
      </c>
      <c r="W23" s="249" t="str">
        <f t="shared" ca="1" si="10"/>
        <v/>
      </c>
      <c r="X23" s="293"/>
      <c r="Y23" s="221">
        <f t="shared" si="11"/>
        <v>0</v>
      </c>
      <c r="Z23" s="299">
        <f ca="1">IF(B23="","",INDIRECT(ADDRESS(MATCH(B23,Soll_AZ,1)+MATCH("Arbeitszeit 1 ab",Voreinstellung_Übersicht!B:B,0)-1,WEEKDAY(B23,2)+4,,,"Voreinstellung_Übersicht"),TRUE))</f>
        <v>0.33333333333333331</v>
      </c>
      <c r="AA23" s="300">
        <f t="shared" ca="1" si="40"/>
        <v>0</v>
      </c>
      <c r="AB23" s="219">
        <f t="shared" si="12"/>
        <v>0</v>
      </c>
      <c r="AC23" s="219">
        <f t="shared" si="13"/>
        <v>0</v>
      </c>
      <c r="AD23" s="219">
        <f t="shared" si="14"/>
        <v>0</v>
      </c>
      <c r="AE23" s="219">
        <f t="shared" si="15"/>
        <v>0</v>
      </c>
      <c r="AF23" s="219">
        <f t="shared" si="16"/>
        <v>0</v>
      </c>
      <c r="AG23" s="219">
        <f t="shared" si="17"/>
        <v>0</v>
      </c>
      <c r="AH23" s="219">
        <f t="shared" si="18"/>
        <v>0</v>
      </c>
      <c r="AI23" s="219">
        <f t="shared" si="19"/>
        <v>0</v>
      </c>
      <c r="AJ23" s="219">
        <f t="shared" si="20"/>
        <v>0</v>
      </c>
      <c r="AK23" s="219">
        <f t="shared" si="21"/>
        <v>0</v>
      </c>
      <c r="AL23" s="219">
        <f t="shared" si="22"/>
        <v>0</v>
      </c>
      <c r="AM23" s="219">
        <f t="shared" si="23"/>
        <v>0</v>
      </c>
      <c r="AN23" s="301">
        <f t="shared" si="24"/>
        <v>0</v>
      </c>
      <c r="AO23" s="301">
        <f t="shared" si="25"/>
        <v>0</v>
      </c>
      <c r="AP23" s="301">
        <f t="shared" si="26"/>
        <v>0</v>
      </c>
      <c r="AQ23" s="301">
        <f t="shared" si="27"/>
        <v>0</v>
      </c>
      <c r="AR23" s="301">
        <f t="shared" si="28"/>
        <v>0</v>
      </c>
      <c r="AS23" s="301">
        <f t="shared" si="29"/>
        <v>0</v>
      </c>
      <c r="AT23" s="302">
        <f t="shared" si="30"/>
        <v>0</v>
      </c>
      <c r="AU23" s="302">
        <f t="shared" si="31"/>
        <v>0</v>
      </c>
      <c r="AV23" s="81">
        <f t="shared" si="32"/>
        <v>0</v>
      </c>
      <c r="AW23" s="82">
        <f t="shared" si="33"/>
        <v>0</v>
      </c>
      <c r="AX23" s="81">
        <f t="shared" si="34"/>
        <v>0</v>
      </c>
      <c r="AY23" s="83">
        <f t="shared" si="35"/>
        <v>0</v>
      </c>
      <c r="AZ23" s="83">
        <f t="shared" si="36"/>
        <v>0</v>
      </c>
      <c r="BA23" s="82">
        <f>IF(OR(B23=Feiertage!$A$16,B23=Feiertage!$A$19),U23*Zuschläge_24_31/100,IF(AZ23&gt;0,AZ23*Feiertag_mit/100,IF(AX23&gt;0,AX23*Zuschläge_Sa/100,IF(AY23&gt;0,AY23*Zuschlag_So/100,0))))</f>
        <v>0</v>
      </c>
      <c r="BB23" s="82">
        <f>IF(AND(B23&lt;&gt;0,G23=Voreinstellung_Übersicht!$D$41),IF(EG=1,W23*Über_klein/100,IF(EG=2,W23*Über_groß/100,"Fehler")),0)</f>
        <v>0</v>
      </c>
      <c r="BC23" s="299">
        <f t="shared" ca="1" si="41"/>
        <v>0</v>
      </c>
      <c r="BD23" s="219">
        <f t="shared" ca="1" si="37"/>
        <v>1</v>
      </c>
      <c r="BE23" s="303">
        <f ca="1">IF(B23="","",INDIRECT(ADDRESS(MATCH(B23,Soll_AZ,1)+MATCH("Arbeitszeit 1 ab",Voreinstellung_Übersicht!B:B,0)-1,4,,,"Voreinstellung_Übersicht"),TRUE))</f>
        <v>1.6666666666666665</v>
      </c>
      <c r="BF23" s="1">
        <f t="shared" si="42"/>
        <v>0</v>
      </c>
    </row>
    <row r="24" spans="1:58" s="1" customFormat="1" ht="15" x14ac:dyDescent="0.3">
      <c r="A24" s="218">
        <f t="shared" si="0"/>
        <v>51</v>
      </c>
      <c r="B24" s="47">
        <f t="shared" si="38"/>
        <v>42354</v>
      </c>
      <c r="C24" s="219">
        <f t="shared" si="1"/>
        <v>1</v>
      </c>
      <c r="D24" s="220" t="str">
        <f t="shared" si="2"/>
        <v/>
      </c>
      <c r="E24" s="298" t="str">
        <f t="shared" si="3"/>
        <v/>
      </c>
      <c r="F24" s="87">
        <f t="shared" si="4"/>
        <v>42354</v>
      </c>
      <c r="G24" s="147"/>
      <c r="H24" s="74"/>
      <c r="I24" s="75"/>
      <c r="J24" s="221">
        <f t="shared" si="5"/>
        <v>0</v>
      </c>
      <c r="K24" s="76"/>
      <c r="L24" s="221">
        <f t="shared" si="43"/>
        <v>0</v>
      </c>
      <c r="M24" s="74"/>
      <c r="N24" s="75"/>
      <c r="O24" s="221">
        <f t="shared" si="6"/>
        <v>0</v>
      </c>
      <c r="P24" s="76"/>
      <c r="Q24" s="221">
        <f t="shared" si="44"/>
        <v>0</v>
      </c>
      <c r="R24" s="221">
        <f t="shared" si="45"/>
        <v>0</v>
      </c>
      <c r="S24" s="221">
        <f t="shared" si="7"/>
        <v>0</v>
      </c>
      <c r="T24" s="79">
        <f t="shared" si="8"/>
        <v>0</v>
      </c>
      <c r="U24" s="79">
        <f t="shared" si="39"/>
        <v>0</v>
      </c>
      <c r="V24" s="80">
        <f t="shared" ca="1" si="9"/>
        <v>0.33333333329999998</v>
      </c>
      <c r="W24" s="249" t="str">
        <f t="shared" ca="1" si="10"/>
        <v/>
      </c>
      <c r="X24" s="293"/>
      <c r="Y24" s="221">
        <f t="shared" si="11"/>
        <v>0</v>
      </c>
      <c r="Z24" s="299">
        <f ca="1">IF(B24="","",INDIRECT(ADDRESS(MATCH(B24,Soll_AZ,1)+MATCH("Arbeitszeit 1 ab",Voreinstellung_Übersicht!B:B,0)-1,WEEKDAY(B24,2)+4,,,"Voreinstellung_Übersicht"),TRUE))</f>
        <v>0.33333333333333331</v>
      </c>
      <c r="AA24" s="300">
        <f t="shared" ca="1" si="40"/>
        <v>0</v>
      </c>
      <c r="AB24" s="219">
        <f t="shared" si="12"/>
        <v>0</v>
      </c>
      <c r="AC24" s="219">
        <f t="shared" si="13"/>
        <v>0</v>
      </c>
      <c r="AD24" s="219">
        <f t="shared" si="14"/>
        <v>0</v>
      </c>
      <c r="AE24" s="219">
        <f t="shared" si="15"/>
        <v>0</v>
      </c>
      <c r="AF24" s="219">
        <f t="shared" si="16"/>
        <v>0</v>
      </c>
      <c r="AG24" s="219">
        <f t="shared" si="17"/>
        <v>0</v>
      </c>
      <c r="AH24" s="219">
        <f t="shared" si="18"/>
        <v>0</v>
      </c>
      <c r="AI24" s="219">
        <f t="shared" si="19"/>
        <v>0</v>
      </c>
      <c r="AJ24" s="219">
        <f t="shared" si="20"/>
        <v>0</v>
      </c>
      <c r="AK24" s="219">
        <f t="shared" si="21"/>
        <v>0</v>
      </c>
      <c r="AL24" s="219">
        <f t="shared" si="22"/>
        <v>0</v>
      </c>
      <c r="AM24" s="219">
        <f t="shared" si="23"/>
        <v>0</v>
      </c>
      <c r="AN24" s="301">
        <f t="shared" si="24"/>
        <v>0</v>
      </c>
      <c r="AO24" s="301">
        <f t="shared" si="25"/>
        <v>0</v>
      </c>
      <c r="AP24" s="301">
        <f t="shared" si="26"/>
        <v>0</v>
      </c>
      <c r="AQ24" s="301">
        <f t="shared" si="27"/>
        <v>0</v>
      </c>
      <c r="AR24" s="301">
        <f t="shared" si="28"/>
        <v>0</v>
      </c>
      <c r="AS24" s="301">
        <f t="shared" si="29"/>
        <v>0</v>
      </c>
      <c r="AT24" s="302">
        <f t="shared" si="30"/>
        <v>0</v>
      </c>
      <c r="AU24" s="302">
        <f t="shared" si="31"/>
        <v>0</v>
      </c>
      <c r="AV24" s="81">
        <f t="shared" si="32"/>
        <v>0</v>
      </c>
      <c r="AW24" s="82">
        <f t="shared" si="33"/>
        <v>0</v>
      </c>
      <c r="AX24" s="81">
        <f t="shared" si="34"/>
        <v>0</v>
      </c>
      <c r="AY24" s="83">
        <f t="shared" si="35"/>
        <v>0</v>
      </c>
      <c r="AZ24" s="83">
        <f t="shared" si="36"/>
        <v>0</v>
      </c>
      <c r="BA24" s="82">
        <f>IF(OR(B24=Feiertage!$A$16,B24=Feiertage!$A$19),U24*Zuschläge_24_31/100,IF(AZ24&gt;0,AZ24*Feiertag_mit/100,IF(AX24&gt;0,AX24*Zuschläge_Sa/100,IF(AY24&gt;0,AY24*Zuschlag_So/100,0))))</f>
        <v>0</v>
      </c>
      <c r="BB24" s="82">
        <f>IF(AND(B24&lt;&gt;0,G24=Voreinstellung_Übersicht!$D$41),IF(EG=1,W24*Über_klein/100,IF(EG=2,W24*Über_groß/100,"Fehler")),0)</f>
        <v>0</v>
      </c>
      <c r="BC24" s="299">
        <f t="shared" ca="1" si="41"/>
        <v>0</v>
      </c>
      <c r="BD24" s="219">
        <f t="shared" ca="1" si="37"/>
        <v>1</v>
      </c>
      <c r="BE24" s="303">
        <f ca="1">IF(B24="","",INDIRECT(ADDRESS(MATCH(B24,Soll_AZ,1)+MATCH("Arbeitszeit 1 ab",Voreinstellung_Übersicht!B:B,0)-1,4,,,"Voreinstellung_Übersicht"),TRUE))</f>
        <v>1.6666666666666665</v>
      </c>
      <c r="BF24" s="1">
        <f t="shared" si="42"/>
        <v>0</v>
      </c>
    </row>
    <row r="25" spans="1:58" s="1" customFormat="1" ht="15" x14ac:dyDescent="0.3">
      <c r="A25" s="218">
        <f t="shared" si="0"/>
        <v>51</v>
      </c>
      <c r="B25" s="47">
        <f t="shared" si="38"/>
        <v>42355</v>
      </c>
      <c r="C25" s="219">
        <f t="shared" si="1"/>
        <v>1</v>
      </c>
      <c r="D25" s="220" t="str">
        <f t="shared" si="2"/>
        <v/>
      </c>
      <c r="E25" s="298" t="str">
        <f t="shared" si="3"/>
        <v/>
      </c>
      <c r="F25" s="87">
        <f t="shared" si="4"/>
        <v>42355</v>
      </c>
      <c r="G25" s="147"/>
      <c r="H25" s="74"/>
      <c r="I25" s="75"/>
      <c r="J25" s="221">
        <f t="shared" si="5"/>
        <v>0</v>
      </c>
      <c r="K25" s="76"/>
      <c r="L25" s="221">
        <f t="shared" si="43"/>
        <v>0</v>
      </c>
      <c r="M25" s="74"/>
      <c r="N25" s="75"/>
      <c r="O25" s="221">
        <f t="shared" si="6"/>
        <v>0</v>
      </c>
      <c r="P25" s="76"/>
      <c r="Q25" s="221">
        <f t="shared" si="44"/>
        <v>0</v>
      </c>
      <c r="R25" s="221">
        <f t="shared" si="45"/>
        <v>0</v>
      </c>
      <c r="S25" s="221">
        <f t="shared" si="7"/>
        <v>0</v>
      </c>
      <c r="T25" s="79">
        <f t="shared" si="8"/>
        <v>0</v>
      </c>
      <c r="U25" s="79">
        <f t="shared" si="39"/>
        <v>0</v>
      </c>
      <c r="V25" s="80">
        <f t="shared" ca="1" si="9"/>
        <v>0.33333333329999998</v>
      </c>
      <c r="W25" s="249" t="str">
        <f t="shared" ca="1" si="10"/>
        <v/>
      </c>
      <c r="X25" s="293"/>
      <c r="Y25" s="221">
        <f t="shared" si="11"/>
        <v>0</v>
      </c>
      <c r="Z25" s="299">
        <f ca="1">IF(B25="","",INDIRECT(ADDRESS(MATCH(B25,Soll_AZ,1)+MATCH("Arbeitszeit 1 ab",Voreinstellung_Übersicht!B:B,0)-1,WEEKDAY(B25,2)+4,,,"Voreinstellung_Übersicht"),TRUE))</f>
        <v>0.33333333333333331</v>
      </c>
      <c r="AA25" s="300">
        <f t="shared" ca="1" si="40"/>
        <v>0</v>
      </c>
      <c r="AB25" s="219">
        <f t="shared" si="12"/>
        <v>0</v>
      </c>
      <c r="AC25" s="219">
        <f t="shared" si="13"/>
        <v>0</v>
      </c>
      <c r="AD25" s="219">
        <f t="shared" si="14"/>
        <v>0</v>
      </c>
      <c r="AE25" s="219">
        <f t="shared" si="15"/>
        <v>0</v>
      </c>
      <c r="AF25" s="219">
        <f t="shared" si="16"/>
        <v>0</v>
      </c>
      <c r="AG25" s="219">
        <f t="shared" si="17"/>
        <v>0</v>
      </c>
      <c r="AH25" s="219">
        <f t="shared" si="18"/>
        <v>0</v>
      </c>
      <c r="AI25" s="219">
        <f t="shared" si="19"/>
        <v>0</v>
      </c>
      <c r="AJ25" s="219">
        <f t="shared" si="20"/>
        <v>0</v>
      </c>
      <c r="AK25" s="219">
        <f t="shared" si="21"/>
        <v>0</v>
      </c>
      <c r="AL25" s="219">
        <f t="shared" si="22"/>
        <v>0</v>
      </c>
      <c r="AM25" s="219">
        <f t="shared" si="23"/>
        <v>0</v>
      </c>
      <c r="AN25" s="301">
        <f t="shared" si="24"/>
        <v>0</v>
      </c>
      <c r="AO25" s="301">
        <f t="shared" si="25"/>
        <v>0</v>
      </c>
      <c r="AP25" s="301">
        <f t="shared" si="26"/>
        <v>0</v>
      </c>
      <c r="AQ25" s="301">
        <f t="shared" si="27"/>
        <v>0</v>
      </c>
      <c r="AR25" s="301">
        <f t="shared" si="28"/>
        <v>0</v>
      </c>
      <c r="AS25" s="301">
        <f t="shared" si="29"/>
        <v>0</v>
      </c>
      <c r="AT25" s="302">
        <f t="shared" si="30"/>
        <v>0</v>
      </c>
      <c r="AU25" s="302">
        <f t="shared" si="31"/>
        <v>0</v>
      </c>
      <c r="AV25" s="81">
        <f t="shared" si="32"/>
        <v>0</v>
      </c>
      <c r="AW25" s="82">
        <f t="shared" si="33"/>
        <v>0</v>
      </c>
      <c r="AX25" s="81">
        <f t="shared" si="34"/>
        <v>0</v>
      </c>
      <c r="AY25" s="83">
        <f t="shared" si="35"/>
        <v>0</v>
      </c>
      <c r="AZ25" s="83">
        <f t="shared" si="36"/>
        <v>0</v>
      </c>
      <c r="BA25" s="82">
        <f>IF(OR(B25=Feiertage!$A$16,B25=Feiertage!$A$19),U25*Zuschläge_24_31/100,IF(AZ25&gt;0,AZ25*Feiertag_mit/100,IF(AX25&gt;0,AX25*Zuschläge_Sa/100,IF(AY25&gt;0,AY25*Zuschlag_So/100,0))))</f>
        <v>0</v>
      </c>
      <c r="BB25" s="82">
        <f>IF(AND(B25&lt;&gt;0,G25=Voreinstellung_Übersicht!$D$41),IF(EG=1,W25*Über_klein/100,IF(EG=2,W25*Über_groß/100,"Fehler")),0)</f>
        <v>0</v>
      </c>
      <c r="BC25" s="299">
        <f t="shared" ca="1" si="41"/>
        <v>0</v>
      </c>
      <c r="BD25" s="219">
        <f t="shared" ca="1" si="37"/>
        <v>1</v>
      </c>
      <c r="BE25" s="303">
        <f ca="1">IF(B25="","",INDIRECT(ADDRESS(MATCH(B25,Soll_AZ,1)+MATCH("Arbeitszeit 1 ab",Voreinstellung_Übersicht!B:B,0)-1,4,,,"Voreinstellung_Übersicht"),TRUE))</f>
        <v>1.6666666666666665</v>
      </c>
      <c r="BF25" s="1">
        <f t="shared" si="42"/>
        <v>0</v>
      </c>
    </row>
    <row r="26" spans="1:58" s="1" customFormat="1" ht="15" x14ac:dyDescent="0.3">
      <c r="A26" s="218">
        <f t="shared" si="0"/>
        <v>51</v>
      </c>
      <c r="B26" s="47">
        <f t="shared" si="38"/>
        <v>42356</v>
      </c>
      <c r="C26" s="219">
        <f t="shared" si="1"/>
        <v>1</v>
      </c>
      <c r="D26" s="220" t="str">
        <f t="shared" si="2"/>
        <v/>
      </c>
      <c r="E26" s="298" t="str">
        <f t="shared" si="3"/>
        <v/>
      </c>
      <c r="F26" s="87">
        <f t="shared" si="4"/>
        <v>42356</v>
      </c>
      <c r="G26" s="147"/>
      <c r="H26" s="74"/>
      <c r="I26" s="75"/>
      <c r="J26" s="221">
        <f t="shared" si="5"/>
        <v>0</v>
      </c>
      <c r="K26" s="76"/>
      <c r="L26" s="221">
        <f t="shared" si="43"/>
        <v>0</v>
      </c>
      <c r="M26" s="74"/>
      <c r="N26" s="75"/>
      <c r="O26" s="221">
        <f t="shared" si="6"/>
        <v>0</v>
      </c>
      <c r="P26" s="76"/>
      <c r="Q26" s="221">
        <f t="shared" si="44"/>
        <v>0</v>
      </c>
      <c r="R26" s="221">
        <f t="shared" si="45"/>
        <v>0</v>
      </c>
      <c r="S26" s="221">
        <f t="shared" si="7"/>
        <v>0</v>
      </c>
      <c r="T26" s="79">
        <f t="shared" si="8"/>
        <v>0</v>
      </c>
      <c r="U26" s="79">
        <f t="shared" si="39"/>
        <v>0</v>
      </c>
      <c r="V26" s="80">
        <f t="shared" ca="1" si="9"/>
        <v>0.33333333329999998</v>
      </c>
      <c r="W26" s="249" t="str">
        <f t="shared" ca="1" si="10"/>
        <v/>
      </c>
      <c r="X26" s="293"/>
      <c r="Y26" s="221">
        <f t="shared" si="11"/>
        <v>0</v>
      </c>
      <c r="Z26" s="299">
        <f ca="1">IF(B26="","",INDIRECT(ADDRESS(MATCH(B26,Soll_AZ,1)+MATCH("Arbeitszeit 1 ab",Voreinstellung_Übersicht!B:B,0)-1,WEEKDAY(B26,2)+4,,,"Voreinstellung_Übersicht"),TRUE))</f>
        <v>0.33333333333333331</v>
      </c>
      <c r="AA26" s="300">
        <f t="shared" ca="1" si="40"/>
        <v>0</v>
      </c>
      <c r="AB26" s="219">
        <f t="shared" si="12"/>
        <v>0</v>
      </c>
      <c r="AC26" s="219">
        <f t="shared" si="13"/>
        <v>0</v>
      </c>
      <c r="AD26" s="219">
        <f t="shared" si="14"/>
        <v>0</v>
      </c>
      <c r="AE26" s="219">
        <f t="shared" si="15"/>
        <v>0</v>
      </c>
      <c r="AF26" s="219">
        <f t="shared" si="16"/>
        <v>0</v>
      </c>
      <c r="AG26" s="219">
        <f t="shared" si="17"/>
        <v>0</v>
      </c>
      <c r="AH26" s="219">
        <f t="shared" si="18"/>
        <v>0</v>
      </c>
      <c r="AI26" s="219">
        <f t="shared" si="19"/>
        <v>0</v>
      </c>
      <c r="AJ26" s="219">
        <f t="shared" si="20"/>
        <v>0</v>
      </c>
      <c r="AK26" s="219">
        <f t="shared" si="21"/>
        <v>0</v>
      </c>
      <c r="AL26" s="219">
        <f t="shared" si="22"/>
        <v>0</v>
      </c>
      <c r="AM26" s="219">
        <f t="shared" si="23"/>
        <v>0</v>
      </c>
      <c r="AN26" s="301">
        <f t="shared" si="24"/>
        <v>0</v>
      </c>
      <c r="AO26" s="301">
        <f t="shared" si="25"/>
        <v>0</v>
      </c>
      <c r="AP26" s="301">
        <f t="shared" si="26"/>
        <v>0</v>
      </c>
      <c r="AQ26" s="301">
        <f t="shared" si="27"/>
        <v>0</v>
      </c>
      <c r="AR26" s="301">
        <f t="shared" si="28"/>
        <v>0</v>
      </c>
      <c r="AS26" s="301">
        <f t="shared" si="29"/>
        <v>0</v>
      </c>
      <c r="AT26" s="302">
        <f t="shared" si="30"/>
        <v>0</v>
      </c>
      <c r="AU26" s="302">
        <f t="shared" si="31"/>
        <v>0</v>
      </c>
      <c r="AV26" s="81">
        <f t="shared" si="32"/>
        <v>0</v>
      </c>
      <c r="AW26" s="82">
        <f t="shared" si="33"/>
        <v>0</v>
      </c>
      <c r="AX26" s="81">
        <f t="shared" si="34"/>
        <v>0</v>
      </c>
      <c r="AY26" s="83">
        <f t="shared" si="35"/>
        <v>0</v>
      </c>
      <c r="AZ26" s="83">
        <f t="shared" si="36"/>
        <v>0</v>
      </c>
      <c r="BA26" s="82">
        <f>IF(OR(B26=Feiertage!$A$16,B26=Feiertage!$A$19),U26*Zuschläge_24_31/100,IF(AZ26&gt;0,AZ26*Feiertag_mit/100,IF(AX26&gt;0,AX26*Zuschläge_Sa/100,IF(AY26&gt;0,AY26*Zuschlag_So/100,0))))</f>
        <v>0</v>
      </c>
      <c r="BB26" s="82">
        <f>IF(AND(B26&lt;&gt;0,G26=Voreinstellung_Übersicht!$D$41),IF(EG=1,W26*Über_klein/100,IF(EG=2,W26*Über_groß/100,"Fehler")),0)</f>
        <v>0</v>
      </c>
      <c r="BC26" s="299">
        <f t="shared" ca="1" si="41"/>
        <v>0</v>
      </c>
      <c r="BD26" s="219">
        <f t="shared" ca="1" si="37"/>
        <v>1</v>
      </c>
      <c r="BE26" s="303">
        <f ca="1">IF(B26="","",INDIRECT(ADDRESS(MATCH(B26,Soll_AZ,1)+MATCH("Arbeitszeit 1 ab",Voreinstellung_Übersicht!B:B,0)-1,4,,,"Voreinstellung_Übersicht"),TRUE))</f>
        <v>1.6666666666666665</v>
      </c>
      <c r="BF26" s="1">
        <f t="shared" si="42"/>
        <v>0</v>
      </c>
    </row>
    <row r="27" spans="1:58" s="1" customFormat="1" ht="15" x14ac:dyDescent="0.3">
      <c r="A27" s="218">
        <f t="shared" si="0"/>
        <v>51</v>
      </c>
      <c r="B27" s="47">
        <f t="shared" si="38"/>
        <v>42357</v>
      </c>
      <c r="C27" s="219">
        <f t="shared" si="1"/>
        <v>1</v>
      </c>
      <c r="D27" s="220" t="str">
        <f t="shared" si="2"/>
        <v/>
      </c>
      <c r="E27" s="298" t="str">
        <f t="shared" si="3"/>
        <v/>
      </c>
      <c r="F27" s="87">
        <f t="shared" si="4"/>
        <v>42357</v>
      </c>
      <c r="G27" s="147"/>
      <c r="H27" s="74"/>
      <c r="I27" s="75"/>
      <c r="J27" s="221">
        <f t="shared" si="5"/>
        <v>0</v>
      </c>
      <c r="K27" s="76"/>
      <c r="L27" s="221">
        <f t="shared" si="43"/>
        <v>0</v>
      </c>
      <c r="M27" s="74"/>
      <c r="N27" s="75"/>
      <c r="O27" s="221">
        <f t="shared" si="6"/>
        <v>0</v>
      </c>
      <c r="P27" s="76"/>
      <c r="Q27" s="221">
        <f t="shared" si="44"/>
        <v>0</v>
      </c>
      <c r="R27" s="221">
        <f t="shared" si="45"/>
        <v>0</v>
      </c>
      <c r="S27" s="221">
        <f t="shared" si="7"/>
        <v>0</v>
      </c>
      <c r="T27" s="79">
        <f t="shared" si="8"/>
        <v>0</v>
      </c>
      <c r="U27" s="79">
        <f t="shared" si="39"/>
        <v>0</v>
      </c>
      <c r="V27" s="80">
        <f t="shared" ca="1" si="9"/>
        <v>0.33333333329999998</v>
      </c>
      <c r="W27" s="249" t="str">
        <f t="shared" ca="1" si="10"/>
        <v/>
      </c>
      <c r="X27" s="293"/>
      <c r="Y27" s="221">
        <f t="shared" si="11"/>
        <v>0</v>
      </c>
      <c r="Z27" s="299">
        <f ca="1">IF(B27="","",INDIRECT(ADDRESS(MATCH(B27,Soll_AZ,1)+MATCH("Arbeitszeit 1 ab",Voreinstellung_Übersicht!B:B,0)-1,WEEKDAY(B27,2)+4,,,"Voreinstellung_Übersicht"),TRUE))</f>
        <v>0.33333333333333331</v>
      </c>
      <c r="AA27" s="300">
        <f t="shared" ca="1" si="40"/>
        <v>0</v>
      </c>
      <c r="AB27" s="219">
        <f t="shared" si="12"/>
        <v>0</v>
      </c>
      <c r="AC27" s="219">
        <f t="shared" si="13"/>
        <v>0</v>
      </c>
      <c r="AD27" s="219">
        <f t="shared" si="14"/>
        <v>0</v>
      </c>
      <c r="AE27" s="219">
        <f t="shared" si="15"/>
        <v>0</v>
      </c>
      <c r="AF27" s="219">
        <f t="shared" si="16"/>
        <v>0</v>
      </c>
      <c r="AG27" s="219">
        <f t="shared" si="17"/>
        <v>0</v>
      </c>
      <c r="AH27" s="219">
        <f t="shared" si="18"/>
        <v>0</v>
      </c>
      <c r="AI27" s="219">
        <f t="shared" si="19"/>
        <v>0</v>
      </c>
      <c r="AJ27" s="219">
        <f t="shared" si="20"/>
        <v>0</v>
      </c>
      <c r="AK27" s="219">
        <f t="shared" si="21"/>
        <v>0</v>
      </c>
      <c r="AL27" s="219">
        <f t="shared" si="22"/>
        <v>0</v>
      </c>
      <c r="AM27" s="219">
        <f t="shared" si="23"/>
        <v>0</v>
      </c>
      <c r="AN27" s="301">
        <f t="shared" si="24"/>
        <v>0</v>
      </c>
      <c r="AO27" s="301">
        <f t="shared" si="25"/>
        <v>0</v>
      </c>
      <c r="AP27" s="301">
        <f t="shared" si="26"/>
        <v>0</v>
      </c>
      <c r="AQ27" s="301">
        <f t="shared" si="27"/>
        <v>0</v>
      </c>
      <c r="AR27" s="301">
        <f t="shared" si="28"/>
        <v>0</v>
      </c>
      <c r="AS27" s="301">
        <f t="shared" si="29"/>
        <v>0</v>
      </c>
      <c r="AT27" s="302">
        <f t="shared" si="30"/>
        <v>0</v>
      </c>
      <c r="AU27" s="302">
        <f t="shared" si="31"/>
        <v>0</v>
      </c>
      <c r="AV27" s="81">
        <f t="shared" si="32"/>
        <v>0</v>
      </c>
      <c r="AW27" s="82">
        <f t="shared" si="33"/>
        <v>0</v>
      </c>
      <c r="AX27" s="81">
        <f t="shared" si="34"/>
        <v>0</v>
      </c>
      <c r="AY27" s="83">
        <f t="shared" si="35"/>
        <v>0</v>
      </c>
      <c r="AZ27" s="83">
        <f t="shared" si="36"/>
        <v>0</v>
      </c>
      <c r="BA27" s="82">
        <f>IF(OR(B27=Feiertage!$A$16,B27=Feiertage!$A$19),U27*Zuschläge_24_31/100,IF(AZ27&gt;0,AZ27*Feiertag_mit/100,IF(AX27&gt;0,AX27*Zuschläge_Sa/100,IF(AY27&gt;0,AY27*Zuschlag_So/100,0))))</f>
        <v>0</v>
      </c>
      <c r="BB27" s="82">
        <f>IF(AND(B27&lt;&gt;0,G27=Voreinstellung_Übersicht!$D$41),IF(EG=1,W27*Über_klein/100,IF(EG=2,W27*Über_groß/100,"Fehler")),0)</f>
        <v>0</v>
      </c>
      <c r="BC27" s="299">
        <f t="shared" ca="1" si="41"/>
        <v>0</v>
      </c>
      <c r="BD27" s="219">
        <f t="shared" ca="1" si="37"/>
        <v>1</v>
      </c>
      <c r="BE27" s="303">
        <f ca="1">IF(B27="","",INDIRECT(ADDRESS(MATCH(B27,Soll_AZ,1)+MATCH("Arbeitszeit 1 ab",Voreinstellung_Übersicht!B:B,0)-1,4,,,"Voreinstellung_Übersicht"),TRUE))</f>
        <v>1.6666666666666665</v>
      </c>
      <c r="BF27" s="1">
        <f t="shared" si="42"/>
        <v>0</v>
      </c>
    </row>
    <row r="28" spans="1:58" s="1" customFormat="1" ht="15" x14ac:dyDescent="0.3">
      <c r="A28" s="218">
        <f t="shared" si="0"/>
        <v>51</v>
      </c>
      <c r="B28" s="47">
        <f t="shared" si="38"/>
        <v>42358</v>
      </c>
      <c r="C28" s="219">
        <f t="shared" si="1"/>
        <v>0</v>
      </c>
      <c r="D28" s="220" t="str">
        <f t="shared" si="2"/>
        <v/>
      </c>
      <c r="E28" s="298" t="str">
        <f t="shared" si="3"/>
        <v/>
      </c>
      <c r="F28" s="87">
        <f t="shared" si="4"/>
        <v>42358</v>
      </c>
      <c r="G28" s="147"/>
      <c r="H28" s="74"/>
      <c r="I28" s="75"/>
      <c r="J28" s="221">
        <f t="shared" si="5"/>
        <v>0</v>
      </c>
      <c r="K28" s="76"/>
      <c r="L28" s="221">
        <f t="shared" si="43"/>
        <v>0</v>
      </c>
      <c r="M28" s="74"/>
      <c r="N28" s="75"/>
      <c r="O28" s="221">
        <f t="shared" si="6"/>
        <v>0</v>
      </c>
      <c r="P28" s="76"/>
      <c r="Q28" s="221">
        <f t="shared" si="44"/>
        <v>0</v>
      </c>
      <c r="R28" s="221">
        <f t="shared" si="45"/>
        <v>0</v>
      </c>
      <c r="S28" s="221">
        <f t="shared" si="7"/>
        <v>0</v>
      </c>
      <c r="T28" s="79">
        <f t="shared" si="8"/>
        <v>0</v>
      </c>
      <c r="U28" s="79">
        <f t="shared" si="39"/>
        <v>0</v>
      </c>
      <c r="V28" s="80">
        <f t="shared" ca="1" si="9"/>
        <v>0</v>
      </c>
      <c r="W28" s="249" t="str">
        <f t="shared" ca="1" si="10"/>
        <v/>
      </c>
      <c r="X28" s="293"/>
      <c r="Y28" s="221">
        <f t="shared" si="11"/>
        <v>0</v>
      </c>
      <c r="Z28" s="299">
        <f ca="1">IF(B28="","",INDIRECT(ADDRESS(MATCH(B28,Soll_AZ,1)+MATCH("Arbeitszeit 1 ab",Voreinstellung_Übersicht!B:B,0)-1,WEEKDAY(B28,2)+4,,,"Voreinstellung_Übersicht"),TRUE))</f>
        <v>0</v>
      </c>
      <c r="AA28" s="300">
        <f t="shared" ca="1" si="40"/>
        <v>0</v>
      </c>
      <c r="AB28" s="219">
        <f t="shared" si="12"/>
        <v>0</v>
      </c>
      <c r="AC28" s="219">
        <f t="shared" si="13"/>
        <v>0</v>
      </c>
      <c r="AD28" s="219">
        <f t="shared" si="14"/>
        <v>0</v>
      </c>
      <c r="AE28" s="219">
        <f t="shared" si="15"/>
        <v>0</v>
      </c>
      <c r="AF28" s="219">
        <f t="shared" si="16"/>
        <v>0</v>
      </c>
      <c r="AG28" s="219">
        <f t="shared" si="17"/>
        <v>0</v>
      </c>
      <c r="AH28" s="219">
        <f t="shared" si="18"/>
        <v>0</v>
      </c>
      <c r="AI28" s="219">
        <f t="shared" si="19"/>
        <v>0</v>
      </c>
      <c r="AJ28" s="219">
        <f t="shared" si="20"/>
        <v>0</v>
      </c>
      <c r="AK28" s="219">
        <f t="shared" si="21"/>
        <v>0</v>
      </c>
      <c r="AL28" s="219">
        <f t="shared" si="22"/>
        <v>0</v>
      </c>
      <c r="AM28" s="219">
        <f t="shared" si="23"/>
        <v>0</v>
      </c>
      <c r="AN28" s="301">
        <f t="shared" si="24"/>
        <v>0</v>
      </c>
      <c r="AO28" s="301">
        <f t="shared" si="25"/>
        <v>0</v>
      </c>
      <c r="AP28" s="301">
        <f t="shared" si="26"/>
        <v>0</v>
      </c>
      <c r="AQ28" s="301">
        <f t="shared" si="27"/>
        <v>0</v>
      </c>
      <c r="AR28" s="301">
        <f t="shared" si="28"/>
        <v>0</v>
      </c>
      <c r="AS28" s="301">
        <f t="shared" si="29"/>
        <v>0</v>
      </c>
      <c r="AT28" s="302">
        <f t="shared" si="30"/>
        <v>0</v>
      </c>
      <c r="AU28" s="302">
        <f t="shared" si="31"/>
        <v>0</v>
      </c>
      <c r="AV28" s="81">
        <f t="shared" si="32"/>
        <v>0</v>
      </c>
      <c r="AW28" s="82">
        <f t="shared" si="33"/>
        <v>0</v>
      </c>
      <c r="AX28" s="81">
        <f t="shared" si="34"/>
        <v>0</v>
      </c>
      <c r="AY28" s="83">
        <f t="shared" si="35"/>
        <v>0</v>
      </c>
      <c r="AZ28" s="83">
        <f t="shared" si="36"/>
        <v>0</v>
      </c>
      <c r="BA28" s="82">
        <f>IF(OR(B28=Feiertage!$A$16,B28=Feiertage!$A$19),U28*Zuschläge_24_31/100,IF(AZ28&gt;0,AZ28*Feiertag_mit/100,IF(AX28&gt;0,AX28*Zuschläge_Sa/100,IF(AY28&gt;0,AY28*Zuschlag_So/100,0))))</f>
        <v>0</v>
      </c>
      <c r="BB28" s="82">
        <f>IF(AND(B28&lt;&gt;0,G28=Voreinstellung_Übersicht!$D$41),IF(EG=1,W28*Über_klein/100,IF(EG=2,W28*Über_groß/100,"Fehler")),0)</f>
        <v>0</v>
      </c>
      <c r="BC28" s="299">
        <f t="shared" ca="1" si="41"/>
        <v>0</v>
      </c>
      <c r="BD28" s="219">
        <f t="shared" ca="1" si="37"/>
        <v>1</v>
      </c>
      <c r="BE28" s="303">
        <f ca="1">IF(B28="","",INDIRECT(ADDRESS(MATCH(B28,Soll_AZ,1)+MATCH("Arbeitszeit 1 ab",Voreinstellung_Übersicht!B:B,0)-1,4,,,"Voreinstellung_Übersicht"),TRUE))</f>
        <v>1.6666666666666665</v>
      </c>
      <c r="BF28" s="1">
        <f t="shared" si="42"/>
        <v>0</v>
      </c>
    </row>
    <row r="29" spans="1:58" s="1" customFormat="1" ht="15" x14ac:dyDescent="0.3">
      <c r="A29" s="218">
        <f t="shared" si="0"/>
        <v>52</v>
      </c>
      <c r="B29" s="47">
        <f t="shared" si="38"/>
        <v>42359</v>
      </c>
      <c r="C29" s="219">
        <f t="shared" si="1"/>
        <v>0</v>
      </c>
      <c r="D29" s="220" t="str">
        <f t="shared" si="2"/>
        <v/>
      </c>
      <c r="E29" s="298" t="str">
        <f t="shared" si="3"/>
        <v/>
      </c>
      <c r="F29" s="87">
        <f t="shared" si="4"/>
        <v>42359</v>
      </c>
      <c r="G29" s="147"/>
      <c r="H29" s="74"/>
      <c r="I29" s="75"/>
      <c r="J29" s="221">
        <f t="shared" si="5"/>
        <v>0</v>
      </c>
      <c r="K29" s="76"/>
      <c r="L29" s="221">
        <f t="shared" si="43"/>
        <v>0</v>
      </c>
      <c r="M29" s="74"/>
      <c r="N29" s="75"/>
      <c r="O29" s="221">
        <f t="shared" si="6"/>
        <v>0</v>
      </c>
      <c r="P29" s="76"/>
      <c r="Q29" s="221">
        <f t="shared" si="44"/>
        <v>0</v>
      </c>
      <c r="R29" s="221">
        <f t="shared" si="45"/>
        <v>0</v>
      </c>
      <c r="S29" s="221">
        <f t="shared" si="7"/>
        <v>0</v>
      </c>
      <c r="T29" s="79">
        <f t="shared" si="8"/>
        <v>0</v>
      </c>
      <c r="U29" s="79">
        <f t="shared" si="39"/>
        <v>0</v>
      </c>
      <c r="V29" s="80">
        <f t="shared" ca="1" si="9"/>
        <v>0</v>
      </c>
      <c r="W29" s="249" t="str">
        <f t="shared" ca="1" si="10"/>
        <v/>
      </c>
      <c r="X29" s="293"/>
      <c r="Y29" s="221">
        <f t="shared" si="11"/>
        <v>0</v>
      </c>
      <c r="Z29" s="299">
        <f ca="1">IF(B29="","",INDIRECT(ADDRESS(MATCH(B29,Soll_AZ,1)+MATCH("Arbeitszeit 1 ab",Voreinstellung_Übersicht!B:B,0)-1,WEEKDAY(B29,2)+4,,,"Voreinstellung_Übersicht"),TRUE))</f>
        <v>0</v>
      </c>
      <c r="AA29" s="300">
        <f t="shared" ca="1" si="40"/>
        <v>0</v>
      </c>
      <c r="AB29" s="219">
        <f t="shared" si="12"/>
        <v>0</v>
      </c>
      <c r="AC29" s="219">
        <f t="shared" si="13"/>
        <v>0</v>
      </c>
      <c r="AD29" s="219">
        <f t="shared" si="14"/>
        <v>0</v>
      </c>
      <c r="AE29" s="219">
        <f t="shared" si="15"/>
        <v>0</v>
      </c>
      <c r="AF29" s="219">
        <f t="shared" si="16"/>
        <v>0</v>
      </c>
      <c r="AG29" s="219">
        <f t="shared" si="17"/>
        <v>0</v>
      </c>
      <c r="AH29" s="219">
        <f t="shared" si="18"/>
        <v>0</v>
      </c>
      <c r="AI29" s="219">
        <f t="shared" si="19"/>
        <v>0</v>
      </c>
      <c r="AJ29" s="219">
        <f t="shared" si="20"/>
        <v>0</v>
      </c>
      <c r="AK29" s="219">
        <f t="shared" si="21"/>
        <v>0</v>
      </c>
      <c r="AL29" s="219">
        <f t="shared" si="22"/>
        <v>0</v>
      </c>
      <c r="AM29" s="219">
        <f t="shared" si="23"/>
        <v>0</v>
      </c>
      <c r="AN29" s="301">
        <f t="shared" si="24"/>
        <v>0</v>
      </c>
      <c r="AO29" s="301">
        <f t="shared" si="25"/>
        <v>0</v>
      </c>
      <c r="AP29" s="301">
        <f t="shared" si="26"/>
        <v>0</v>
      </c>
      <c r="AQ29" s="301">
        <f t="shared" si="27"/>
        <v>0</v>
      </c>
      <c r="AR29" s="301">
        <f t="shared" si="28"/>
        <v>0</v>
      </c>
      <c r="AS29" s="301">
        <f t="shared" si="29"/>
        <v>0</v>
      </c>
      <c r="AT29" s="302">
        <f t="shared" si="30"/>
        <v>0</v>
      </c>
      <c r="AU29" s="302">
        <f t="shared" si="31"/>
        <v>0</v>
      </c>
      <c r="AV29" s="81">
        <f t="shared" si="32"/>
        <v>0</v>
      </c>
      <c r="AW29" s="82">
        <f t="shared" si="33"/>
        <v>0</v>
      </c>
      <c r="AX29" s="81">
        <f t="shared" si="34"/>
        <v>0</v>
      </c>
      <c r="AY29" s="83">
        <f t="shared" si="35"/>
        <v>0</v>
      </c>
      <c r="AZ29" s="83">
        <f t="shared" si="36"/>
        <v>0</v>
      </c>
      <c r="BA29" s="82">
        <f>IF(OR(B29=Feiertage!$A$16,B29=Feiertage!$A$19),U29*Zuschläge_24_31/100,IF(AZ29&gt;0,AZ29*Feiertag_mit/100,IF(AX29&gt;0,AX29*Zuschläge_Sa/100,IF(AY29&gt;0,AY29*Zuschlag_So/100,0))))</f>
        <v>0</v>
      </c>
      <c r="BB29" s="82">
        <f>IF(AND(B29&lt;&gt;0,G29=Voreinstellung_Übersicht!$D$41),IF(EG=1,W29*Über_klein/100,IF(EG=2,W29*Über_groß/100,"Fehler")),0)</f>
        <v>0</v>
      </c>
      <c r="BC29" s="299">
        <f t="shared" ca="1" si="41"/>
        <v>0</v>
      </c>
      <c r="BD29" s="219">
        <f t="shared" ca="1" si="37"/>
        <v>1</v>
      </c>
      <c r="BE29" s="303">
        <f ca="1">IF(B29="","",INDIRECT(ADDRESS(MATCH(B29,Soll_AZ,1)+MATCH("Arbeitszeit 1 ab",Voreinstellung_Übersicht!B:B,0)-1,4,,,"Voreinstellung_Übersicht"),TRUE))</f>
        <v>1.6666666666666665</v>
      </c>
      <c r="BF29" s="1">
        <f t="shared" si="42"/>
        <v>0</v>
      </c>
    </row>
    <row r="30" spans="1:58" s="1" customFormat="1" ht="15" x14ac:dyDescent="0.3">
      <c r="A30" s="218">
        <f t="shared" si="0"/>
        <v>52</v>
      </c>
      <c r="B30" s="47">
        <f t="shared" si="38"/>
        <v>42360</v>
      </c>
      <c r="C30" s="219">
        <f t="shared" si="1"/>
        <v>1</v>
      </c>
      <c r="D30" s="220" t="str">
        <f t="shared" si="2"/>
        <v/>
      </c>
      <c r="E30" s="298" t="str">
        <f t="shared" si="3"/>
        <v/>
      </c>
      <c r="F30" s="87">
        <f t="shared" si="4"/>
        <v>42360</v>
      </c>
      <c r="G30" s="147"/>
      <c r="H30" s="74"/>
      <c r="I30" s="75"/>
      <c r="J30" s="221">
        <f t="shared" si="5"/>
        <v>0</v>
      </c>
      <c r="K30" s="76"/>
      <c r="L30" s="221">
        <f t="shared" si="43"/>
        <v>0</v>
      </c>
      <c r="M30" s="74"/>
      <c r="N30" s="75"/>
      <c r="O30" s="221">
        <f t="shared" si="6"/>
        <v>0</v>
      </c>
      <c r="P30" s="76"/>
      <c r="Q30" s="221">
        <f t="shared" si="44"/>
        <v>0</v>
      </c>
      <c r="R30" s="221">
        <f t="shared" si="45"/>
        <v>0</v>
      </c>
      <c r="S30" s="221">
        <f t="shared" si="7"/>
        <v>0</v>
      </c>
      <c r="T30" s="79">
        <f t="shared" si="8"/>
        <v>0</v>
      </c>
      <c r="U30" s="79">
        <f t="shared" si="39"/>
        <v>0</v>
      </c>
      <c r="V30" s="80">
        <f t="shared" ca="1" si="9"/>
        <v>0.33333333329999998</v>
      </c>
      <c r="W30" s="249" t="str">
        <f t="shared" ca="1" si="10"/>
        <v/>
      </c>
      <c r="X30" s="293"/>
      <c r="Y30" s="221">
        <f t="shared" si="11"/>
        <v>0</v>
      </c>
      <c r="Z30" s="299">
        <f ca="1">IF(B30="","",INDIRECT(ADDRESS(MATCH(B30,Soll_AZ,1)+MATCH("Arbeitszeit 1 ab",Voreinstellung_Übersicht!B:B,0)-1,WEEKDAY(B30,2)+4,,,"Voreinstellung_Übersicht"),TRUE))</f>
        <v>0.33333333333333331</v>
      </c>
      <c r="AA30" s="300">
        <f t="shared" ca="1" si="40"/>
        <v>0</v>
      </c>
      <c r="AB30" s="219">
        <f t="shared" si="12"/>
        <v>0</v>
      </c>
      <c r="AC30" s="219">
        <f t="shared" si="13"/>
        <v>0</v>
      </c>
      <c r="AD30" s="219">
        <f t="shared" si="14"/>
        <v>0</v>
      </c>
      <c r="AE30" s="219">
        <f t="shared" si="15"/>
        <v>0</v>
      </c>
      <c r="AF30" s="219">
        <f t="shared" si="16"/>
        <v>0</v>
      </c>
      <c r="AG30" s="219">
        <f t="shared" si="17"/>
        <v>0</v>
      </c>
      <c r="AH30" s="219">
        <f t="shared" si="18"/>
        <v>0</v>
      </c>
      <c r="AI30" s="219">
        <f t="shared" si="19"/>
        <v>0</v>
      </c>
      <c r="AJ30" s="219">
        <f t="shared" si="20"/>
        <v>0</v>
      </c>
      <c r="AK30" s="219">
        <f t="shared" si="21"/>
        <v>0</v>
      </c>
      <c r="AL30" s="219">
        <f t="shared" si="22"/>
        <v>0</v>
      </c>
      <c r="AM30" s="219">
        <f t="shared" si="23"/>
        <v>0</v>
      </c>
      <c r="AN30" s="301">
        <f t="shared" si="24"/>
        <v>0</v>
      </c>
      <c r="AO30" s="301">
        <f t="shared" si="25"/>
        <v>0</v>
      </c>
      <c r="AP30" s="301">
        <f t="shared" si="26"/>
        <v>0</v>
      </c>
      <c r="AQ30" s="301">
        <f t="shared" si="27"/>
        <v>0</v>
      </c>
      <c r="AR30" s="301">
        <f t="shared" si="28"/>
        <v>0</v>
      </c>
      <c r="AS30" s="301">
        <f t="shared" si="29"/>
        <v>0</v>
      </c>
      <c r="AT30" s="302">
        <f t="shared" si="30"/>
        <v>0</v>
      </c>
      <c r="AU30" s="302">
        <f t="shared" si="31"/>
        <v>0</v>
      </c>
      <c r="AV30" s="81">
        <f t="shared" si="32"/>
        <v>0</v>
      </c>
      <c r="AW30" s="82">
        <f t="shared" si="33"/>
        <v>0</v>
      </c>
      <c r="AX30" s="81">
        <f t="shared" si="34"/>
        <v>0</v>
      </c>
      <c r="AY30" s="83">
        <f t="shared" si="35"/>
        <v>0</v>
      </c>
      <c r="AZ30" s="83">
        <f t="shared" si="36"/>
        <v>0</v>
      </c>
      <c r="BA30" s="82">
        <f>IF(OR(B30=Feiertage!$A$16,B30=Feiertage!$A$19),U30*Zuschläge_24_31/100,IF(AZ30&gt;0,AZ30*Feiertag_mit/100,IF(AX30&gt;0,AX30*Zuschläge_Sa/100,IF(AY30&gt;0,AY30*Zuschlag_So/100,0))))</f>
        <v>0</v>
      </c>
      <c r="BB30" s="82">
        <f>IF(AND(B30&lt;&gt;0,G30=Voreinstellung_Übersicht!$D$41),IF(EG=1,W30*Über_klein/100,IF(EG=2,W30*Über_groß/100,"Fehler")),0)</f>
        <v>0</v>
      </c>
      <c r="BC30" s="299">
        <f t="shared" ca="1" si="41"/>
        <v>0</v>
      </c>
      <c r="BD30" s="219">
        <f t="shared" ca="1" si="37"/>
        <v>1</v>
      </c>
      <c r="BE30" s="303">
        <f ca="1">IF(B30="","",INDIRECT(ADDRESS(MATCH(B30,Soll_AZ,1)+MATCH("Arbeitszeit 1 ab",Voreinstellung_Übersicht!B:B,0)-1,4,,,"Voreinstellung_Übersicht"),TRUE))</f>
        <v>1.6666666666666665</v>
      </c>
      <c r="BF30" s="1">
        <f t="shared" si="42"/>
        <v>0</v>
      </c>
    </row>
    <row r="31" spans="1:58" s="1" customFormat="1" ht="15" x14ac:dyDescent="0.3">
      <c r="A31" s="218">
        <f t="shared" si="0"/>
        <v>52</v>
      </c>
      <c r="B31" s="47">
        <f t="shared" si="38"/>
        <v>42361</v>
      </c>
      <c r="C31" s="219">
        <f t="shared" si="1"/>
        <v>0</v>
      </c>
      <c r="D31" s="220" t="str">
        <f t="shared" si="2"/>
        <v>Heiligabend</v>
      </c>
      <c r="E31" s="298" t="str">
        <f t="shared" si="3"/>
        <v>Heiligabend</v>
      </c>
      <c r="F31" s="87">
        <f t="shared" si="4"/>
        <v>42361</v>
      </c>
      <c r="G31" s="147"/>
      <c r="H31" s="74"/>
      <c r="I31" s="75"/>
      <c r="J31" s="221">
        <f t="shared" si="5"/>
        <v>0</v>
      </c>
      <c r="K31" s="76"/>
      <c r="L31" s="221">
        <f t="shared" si="43"/>
        <v>0</v>
      </c>
      <c r="M31" s="74"/>
      <c r="N31" s="75"/>
      <c r="O31" s="221">
        <f t="shared" si="6"/>
        <v>0</v>
      </c>
      <c r="P31" s="76"/>
      <c r="Q31" s="221">
        <f t="shared" si="44"/>
        <v>0</v>
      </c>
      <c r="R31" s="221">
        <f t="shared" si="45"/>
        <v>0</v>
      </c>
      <c r="S31" s="221">
        <f t="shared" si="7"/>
        <v>0</v>
      </c>
      <c r="T31" s="79">
        <f t="shared" si="8"/>
        <v>0</v>
      </c>
      <c r="U31" s="79">
        <f t="shared" si="39"/>
        <v>0</v>
      </c>
      <c r="V31" s="80">
        <f t="shared" si="9"/>
        <v>0</v>
      </c>
      <c r="W31" s="249" t="str">
        <f t="shared" si="10"/>
        <v/>
      </c>
      <c r="X31" s="293"/>
      <c r="Y31" s="221">
        <f t="shared" si="11"/>
        <v>0</v>
      </c>
      <c r="Z31" s="299">
        <f ca="1">IF(B31="","",INDIRECT(ADDRESS(MATCH(B31,Soll_AZ,1)+MATCH("Arbeitszeit 1 ab",Voreinstellung_Übersicht!B:B,0)-1,WEEKDAY(B31,2)+4,,,"Voreinstellung_Übersicht"),TRUE))</f>
        <v>0.33333333333333331</v>
      </c>
      <c r="AA31" s="300">
        <f t="shared" ca="1" si="40"/>
        <v>0</v>
      </c>
      <c r="AB31" s="219">
        <f t="shared" si="12"/>
        <v>0</v>
      </c>
      <c r="AC31" s="219">
        <f t="shared" si="13"/>
        <v>0</v>
      </c>
      <c r="AD31" s="219">
        <f t="shared" si="14"/>
        <v>0</v>
      </c>
      <c r="AE31" s="219">
        <f t="shared" si="15"/>
        <v>0</v>
      </c>
      <c r="AF31" s="219">
        <f t="shared" si="16"/>
        <v>0</v>
      </c>
      <c r="AG31" s="219">
        <f t="shared" si="17"/>
        <v>0</v>
      </c>
      <c r="AH31" s="219">
        <f t="shared" si="18"/>
        <v>0</v>
      </c>
      <c r="AI31" s="219">
        <f t="shared" si="19"/>
        <v>0</v>
      </c>
      <c r="AJ31" s="219">
        <f t="shared" si="20"/>
        <v>0</v>
      </c>
      <c r="AK31" s="219">
        <f t="shared" si="21"/>
        <v>0</v>
      </c>
      <c r="AL31" s="219">
        <f t="shared" si="22"/>
        <v>0</v>
      </c>
      <c r="AM31" s="219">
        <f t="shared" si="23"/>
        <v>0</v>
      </c>
      <c r="AN31" s="301">
        <f t="shared" si="24"/>
        <v>0</v>
      </c>
      <c r="AO31" s="301">
        <f t="shared" si="25"/>
        <v>0</v>
      </c>
      <c r="AP31" s="301">
        <f t="shared" si="26"/>
        <v>0</v>
      </c>
      <c r="AQ31" s="301">
        <f t="shared" si="27"/>
        <v>0</v>
      </c>
      <c r="AR31" s="301">
        <f t="shared" si="28"/>
        <v>0</v>
      </c>
      <c r="AS31" s="301">
        <f t="shared" si="29"/>
        <v>0</v>
      </c>
      <c r="AT31" s="302">
        <f t="shared" si="30"/>
        <v>0</v>
      </c>
      <c r="AU31" s="302">
        <f t="shared" si="31"/>
        <v>0</v>
      </c>
      <c r="AV31" s="81">
        <f t="shared" si="32"/>
        <v>0</v>
      </c>
      <c r="AW31" s="82">
        <f t="shared" si="33"/>
        <v>0</v>
      </c>
      <c r="AX31" s="81">
        <f t="shared" si="34"/>
        <v>0</v>
      </c>
      <c r="AY31" s="83">
        <f t="shared" si="35"/>
        <v>0</v>
      </c>
      <c r="AZ31" s="83">
        <f t="shared" si="36"/>
        <v>0</v>
      </c>
      <c r="BA31" s="82">
        <f>IF(OR(B31=Feiertage!$A$16,B31=Feiertage!$A$19),U31*Zuschläge_24_31/100,IF(AZ31&gt;0,AZ31*Feiertag_mit/100,IF(AX31&gt;0,AX31*Zuschläge_Sa/100,IF(AY31&gt;0,AY31*Zuschlag_So/100,0))))</f>
        <v>0</v>
      </c>
      <c r="BB31" s="82">
        <f>IF(AND(B31&lt;&gt;0,G31=Voreinstellung_Übersicht!$D$41),IF(EG=1,W31*Über_klein/100,IF(EG=2,W31*Über_groß/100,"Fehler")),0)</f>
        <v>0</v>
      </c>
      <c r="BC31" s="299">
        <f t="shared" ca="1" si="41"/>
        <v>0</v>
      </c>
      <c r="BD31" s="219">
        <f t="shared" ca="1" si="37"/>
        <v>1</v>
      </c>
      <c r="BE31" s="303">
        <f ca="1">IF(B31="","",INDIRECT(ADDRESS(MATCH(B31,Soll_AZ,1)+MATCH("Arbeitszeit 1 ab",Voreinstellung_Übersicht!B:B,0)-1,4,,,"Voreinstellung_Übersicht"),TRUE))</f>
        <v>1.6666666666666665</v>
      </c>
      <c r="BF31" s="1">
        <f t="shared" si="42"/>
        <v>0</v>
      </c>
    </row>
    <row r="32" spans="1:58" s="1" customFormat="1" ht="15" x14ac:dyDescent="0.3">
      <c r="A32" s="218">
        <f t="shared" si="0"/>
        <v>52</v>
      </c>
      <c r="B32" s="47">
        <f t="shared" si="38"/>
        <v>42362</v>
      </c>
      <c r="C32" s="219">
        <f t="shared" si="1"/>
        <v>0</v>
      </c>
      <c r="D32" s="220" t="str">
        <f t="shared" si="2"/>
        <v>1. Weihnachtstag</v>
      </c>
      <c r="E32" s="298" t="str">
        <f t="shared" si="3"/>
        <v>1. Weihnachtstag</v>
      </c>
      <c r="F32" s="87">
        <f t="shared" si="4"/>
        <v>42362</v>
      </c>
      <c r="G32" s="147"/>
      <c r="H32" s="74"/>
      <c r="I32" s="75"/>
      <c r="J32" s="221">
        <f t="shared" si="5"/>
        <v>0</v>
      </c>
      <c r="K32" s="76"/>
      <c r="L32" s="221">
        <f t="shared" si="43"/>
        <v>0</v>
      </c>
      <c r="M32" s="74"/>
      <c r="N32" s="75"/>
      <c r="O32" s="221">
        <f t="shared" si="6"/>
        <v>0</v>
      </c>
      <c r="P32" s="76"/>
      <c r="Q32" s="221">
        <f t="shared" si="44"/>
        <v>0</v>
      </c>
      <c r="R32" s="221">
        <f t="shared" si="45"/>
        <v>0</v>
      </c>
      <c r="S32" s="221">
        <f t="shared" si="7"/>
        <v>0</v>
      </c>
      <c r="T32" s="79">
        <f t="shared" si="8"/>
        <v>0</v>
      </c>
      <c r="U32" s="79">
        <f t="shared" si="39"/>
        <v>0</v>
      </c>
      <c r="V32" s="80">
        <f t="shared" si="9"/>
        <v>0</v>
      </c>
      <c r="W32" s="249" t="str">
        <f t="shared" si="10"/>
        <v/>
      </c>
      <c r="X32" s="293"/>
      <c r="Y32" s="221">
        <f t="shared" si="11"/>
        <v>0</v>
      </c>
      <c r="Z32" s="299">
        <f ca="1">IF(B32="","",INDIRECT(ADDRESS(MATCH(B32,Soll_AZ,1)+MATCH("Arbeitszeit 1 ab",Voreinstellung_Übersicht!B:B,0)-1,WEEKDAY(B32,2)+4,,,"Voreinstellung_Übersicht"),TRUE))</f>
        <v>0.33333333333333331</v>
      </c>
      <c r="AA32" s="300">
        <f t="shared" ca="1" si="40"/>
        <v>0</v>
      </c>
      <c r="AB32" s="219">
        <f t="shared" si="12"/>
        <v>0</v>
      </c>
      <c r="AC32" s="219">
        <f t="shared" si="13"/>
        <v>0</v>
      </c>
      <c r="AD32" s="219">
        <f t="shared" si="14"/>
        <v>0</v>
      </c>
      <c r="AE32" s="219">
        <f t="shared" si="15"/>
        <v>0</v>
      </c>
      <c r="AF32" s="219">
        <f t="shared" si="16"/>
        <v>0</v>
      </c>
      <c r="AG32" s="219">
        <f t="shared" si="17"/>
        <v>0</v>
      </c>
      <c r="AH32" s="219">
        <f t="shared" si="18"/>
        <v>0</v>
      </c>
      <c r="AI32" s="219">
        <f t="shared" si="19"/>
        <v>0</v>
      </c>
      <c r="AJ32" s="219">
        <f t="shared" si="20"/>
        <v>0</v>
      </c>
      <c r="AK32" s="219">
        <f t="shared" si="21"/>
        <v>0</v>
      </c>
      <c r="AL32" s="219">
        <f t="shared" si="22"/>
        <v>0</v>
      </c>
      <c r="AM32" s="219">
        <f t="shared" si="23"/>
        <v>0</v>
      </c>
      <c r="AN32" s="301">
        <f t="shared" si="24"/>
        <v>0</v>
      </c>
      <c r="AO32" s="301">
        <f t="shared" si="25"/>
        <v>0</v>
      </c>
      <c r="AP32" s="301">
        <f t="shared" si="26"/>
        <v>0</v>
      </c>
      <c r="AQ32" s="301">
        <f t="shared" si="27"/>
        <v>0</v>
      </c>
      <c r="AR32" s="301">
        <f t="shared" si="28"/>
        <v>0</v>
      </c>
      <c r="AS32" s="301">
        <f t="shared" si="29"/>
        <v>0</v>
      </c>
      <c r="AT32" s="302">
        <f t="shared" si="30"/>
        <v>0</v>
      </c>
      <c r="AU32" s="302">
        <f t="shared" si="31"/>
        <v>0</v>
      </c>
      <c r="AV32" s="81">
        <f t="shared" si="32"/>
        <v>0</v>
      </c>
      <c r="AW32" s="82">
        <f t="shared" si="33"/>
        <v>0</v>
      </c>
      <c r="AX32" s="81">
        <f t="shared" si="34"/>
        <v>0</v>
      </c>
      <c r="AY32" s="83">
        <f t="shared" si="35"/>
        <v>0</v>
      </c>
      <c r="AZ32" s="83">
        <f t="shared" si="36"/>
        <v>0</v>
      </c>
      <c r="BA32" s="82">
        <f>IF(OR(B32=Feiertage!$A$16,B32=Feiertage!$A$19),U32*Zuschläge_24_31/100,IF(AZ32&gt;0,AZ32*Feiertag_mit/100,IF(AX32&gt;0,AX32*Zuschläge_Sa/100,IF(AY32&gt;0,AY32*Zuschlag_So/100,0))))</f>
        <v>0</v>
      </c>
      <c r="BB32" s="82">
        <f>IF(AND(B32&lt;&gt;0,G32=Voreinstellung_Übersicht!$D$41),IF(EG=1,W32*Über_klein/100,IF(EG=2,W32*Über_groß/100,"Fehler")),0)</f>
        <v>0</v>
      </c>
      <c r="BC32" s="299">
        <f t="shared" ca="1" si="41"/>
        <v>0</v>
      </c>
      <c r="BD32" s="219">
        <f t="shared" ca="1" si="37"/>
        <v>1</v>
      </c>
      <c r="BE32" s="303">
        <f ca="1">IF(B32="","",INDIRECT(ADDRESS(MATCH(B32,Soll_AZ,1)+MATCH("Arbeitszeit 1 ab",Voreinstellung_Übersicht!B:B,0)-1,4,,,"Voreinstellung_Übersicht"),TRUE))</f>
        <v>1.6666666666666665</v>
      </c>
      <c r="BF32" s="1">
        <f t="shared" si="42"/>
        <v>0</v>
      </c>
    </row>
    <row r="33" spans="1:104" s="1" customFormat="1" ht="15" x14ac:dyDescent="0.3">
      <c r="A33" s="218">
        <f t="shared" si="0"/>
        <v>52</v>
      </c>
      <c r="B33" s="47">
        <f t="shared" si="38"/>
        <v>42363</v>
      </c>
      <c r="C33" s="219">
        <f t="shared" si="1"/>
        <v>0</v>
      </c>
      <c r="D33" s="220" t="str">
        <f t="shared" si="2"/>
        <v>2. Weihnachtstag</v>
      </c>
      <c r="E33" s="298" t="str">
        <f t="shared" si="3"/>
        <v>2. Weihnachtstag</v>
      </c>
      <c r="F33" s="87">
        <f t="shared" si="4"/>
        <v>42363</v>
      </c>
      <c r="G33" s="147"/>
      <c r="H33" s="74"/>
      <c r="I33" s="75"/>
      <c r="J33" s="221">
        <f t="shared" si="5"/>
        <v>0</v>
      </c>
      <c r="K33" s="76"/>
      <c r="L33" s="221">
        <f t="shared" si="43"/>
        <v>0</v>
      </c>
      <c r="M33" s="74"/>
      <c r="N33" s="75"/>
      <c r="O33" s="221">
        <f t="shared" si="6"/>
        <v>0</v>
      </c>
      <c r="P33" s="76"/>
      <c r="Q33" s="221">
        <f t="shared" si="44"/>
        <v>0</v>
      </c>
      <c r="R33" s="221">
        <f t="shared" si="45"/>
        <v>0</v>
      </c>
      <c r="S33" s="221">
        <f t="shared" si="7"/>
        <v>0</v>
      </c>
      <c r="T33" s="79">
        <f t="shared" si="8"/>
        <v>0</v>
      </c>
      <c r="U33" s="79">
        <f t="shared" si="39"/>
        <v>0</v>
      </c>
      <c r="V33" s="80">
        <f t="shared" si="9"/>
        <v>0</v>
      </c>
      <c r="W33" s="249" t="str">
        <f t="shared" si="10"/>
        <v/>
      </c>
      <c r="X33" s="293"/>
      <c r="Y33" s="221">
        <f t="shared" si="11"/>
        <v>0</v>
      </c>
      <c r="Z33" s="299">
        <f ca="1">IF(B33="","",INDIRECT(ADDRESS(MATCH(B33,Soll_AZ,1)+MATCH("Arbeitszeit 1 ab",Voreinstellung_Übersicht!B:B,0)-1,WEEKDAY(B33,2)+4,,,"Voreinstellung_Übersicht"),TRUE))</f>
        <v>0.33333333333333331</v>
      </c>
      <c r="AA33" s="300">
        <f t="shared" ca="1" si="40"/>
        <v>0</v>
      </c>
      <c r="AB33" s="219">
        <f t="shared" si="12"/>
        <v>0</v>
      </c>
      <c r="AC33" s="219">
        <f t="shared" si="13"/>
        <v>0</v>
      </c>
      <c r="AD33" s="219">
        <f t="shared" si="14"/>
        <v>0</v>
      </c>
      <c r="AE33" s="219">
        <f t="shared" si="15"/>
        <v>0</v>
      </c>
      <c r="AF33" s="219">
        <f t="shared" si="16"/>
        <v>0</v>
      </c>
      <c r="AG33" s="219">
        <f t="shared" si="17"/>
        <v>0</v>
      </c>
      <c r="AH33" s="219">
        <f t="shared" si="18"/>
        <v>0</v>
      </c>
      <c r="AI33" s="219">
        <f t="shared" si="19"/>
        <v>0</v>
      </c>
      <c r="AJ33" s="219">
        <f t="shared" si="20"/>
        <v>0</v>
      </c>
      <c r="AK33" s="219">
        <f t="shared" si="21"/>
        <v>0</v>
      </c>
      <c r="AL33" s="219">
        <f t="shared" si="22"/>
        <v>0</v>
      </c>
      <c r="AM33" s="219">
        <f t="shared" si="23"/>
        <v>0</v>
      </c>
      <c r="AN33" s="301">
        <f t="shared" si="24"/>
        <v>0</v>
      </c>
      <c r="AO33" s="301">
        <f t="shared" si="25"/>
        <v>0</v>
      </c>
      <c r="AP33" s="301">
        <f t="shared" si="26"/>
        <v>0</v>
      </c>
      <c r="AQ33" s="301">
        <f t="shared" si="27"/>
        <v>0</v>
      </c>
      <c r="AR33" s="301">
        <f t="shared" si="28"/>
        <v>0</v>
      </c>
      <c r="AS33" s="301">
        <f t="shared" si="29"/>
        <v>0</v>
      </c>
      <c r="AT33" s="302">
        <f t="shared" si="30"/>
        <v>0</v>
      </c>
      <c r="AU33" s="302">
        <f t="shared" si="31"/>
        <v>0</v>
      </c>
      <c r="AV33" s="81">
        <f t="shared" si="32"/>
        <v>0</v>
      </c>
      <c r="AW33" s="82">
        <f t="shared" si="33"/>
        <v>0</v>
      </c>
      <c r="AX33" s="81">
        <f t="shared" si="34"/>
        <v>0</v>
      </c>
      <c r="AY33" s="83">
        <f t="shared" si="35"/>
        <v>0</v>
      </c>
      <c r="AZ33" s="83">
        <f t="shared" si="36"/>
        <v>0</v>
      </c>
      <c r="BA33" s="82">
        <f>IF(OR(B33=Feiertage!$A$16,B33=Feiertage!$A$19),U33*Zuschläge_24_31/100,IF(AZ33&gt;0,AZ33*Feiertag_mit/100,IF(AX33&gt;0,AX33*Zuschläge_Sa/100,IF(AY33&gt;0,AY33*Zuschlag_So/100,0))))</f>
        <v>0</v>
      </c>
      <c r="BB33" s="82">
        <f>IF(AND(B33&lt;&gt;0,G33=Voreinstellung_Übersicht!$D$41),IF(EG=1,W33*Über_klein/100,IF(EG=2,W33*Über_groß/100,"Fehler")),0)</f>
        <v>0</v>
      </c>
      <c r="BC33" s="299">
        <f t="shared" ca="1" si="41"/>
        <v>0</v>
      </c>
      <c r="BD33" s="219">
        <f t="shared" ca="1" si="37"/>
        <v>1</v>
      </c>
      <c r="BE33" s="303">
        <f ca="1">IF(B33="","",INDIRECT(ADDRESS(MATCH(B33,Soll_AZ,1)+MATCH("Arbeitszeit 1 ab",Voreinstellung_Übersicht!B:B,0)-1,4,,,"Voreinstellung_Übersicht"),TRUE))</f>
        <v>1.6666666666666665</v>
      </c>
      <c r="BF33" s="1">
        <f t="shared" si="42"/>
        <v>0</v>
      </c>
    </row>
    <row r="34" spans="1:104" s="1" customFormat="1" ht="15" x14ac:dyDescent="0.3">
      <c r="A34" s="218">
        <f t="shared" si="0"/>
        <v>52</v>
      </c>
      <c r="B34" s="47">
        <f t="shared" si="38"/>
        <v>42364</v>
      </c>
      <c r="C34" s="219">
        <f t="shared" si="1"/>
        <v>1</v>
      </c>
      <c r="D34" s="220" t="str">
        <f t="shared" si="2"/>
        <v/>
      </c>
      <c r="E34" s="298" t="str">
        <f t="shared" si="3"/>
        <v/>
      </c>
      <c r="F34" s="87">
        <f t="shared" si="4"/>
        <v>42364</v>
      </c>
      <c r="G34" s="147"/>
      <c r="H34" s="74"/>
      <c r="I34" s="75"/>
      <c r="J34" s="221">
        <f t="shared" si="5"/>
        <v>0</v>
      </c>
      <c r="K34" s="76"/>
      <c r="L34" s="221">
        <f t="shared" si="43"/>
        <v>0</v>
      </c>
      <c r="M34" s="74"/>
      <c r="N34" s="75"/>
      <c r="O34" s="221">
        <f t="shared" si="6"/>
        <v>0</v>
      </c>
      <c r="P34" s="76"/>
      <c r="Q34" s="221">
        <f t="shared" si="44"/>
        <v>0</v>
      </c>
      <c r="R34" s="221">
        <f t="shared" si="45"/>
        <v>0</v>
      </c>
      <c r="S34" s="221">
        <f t="shared" si="7"/>
        <v>0</v>
      </c>
      <c r="T34" s="79">
        <f t="shared" si="8"/>
        <v>0</v>
      </c>
      <c r="U34" s="79">
        <f t="shared" si="39"/>
        <v>0</v>
      </c>
      <c r="V34" s="80">
        <f t="shared" ca="1" si="9"/>
        <v>0.33333333329999998</v>
      </c>
      <c r="W34" s="249" t="str">
        <f t="shared" ca="1" si="10"/>
        <v/>
      </c>
      <c r="X34" s="293"/>
      <c r="Y34" s="221">
        <f t="shared" si="11"/>
        <v>0</v>
      </c>
      <c r="Z34" s="299">
        <f ca="1">IF(B34="","",INDIRECT(ADDRESS(MATCH(B34,Soll_AZ,1)+MATCH("Arbeitszeit 1 ab",Voreinstellung_Übersicht!B:B,0)-1,WEEKDAY(B34,2)+4,,,"Voreinstellung_Übersicht"),TRUE))</f>
        <v>0.33333333333333331</v>
      </c>
      <c r="AA34" s="300">
        <f t="shared" ca="1" si="40"/>
        <v>0</v>
      </c>
      <c r="AB34" s="219">
        <f t="shared" si="12"/>
        <v>0</v>
      </c>
      <c r="AC34" s="219">
        <f t="shared" si="13"/>
        <v>0</v>
      </c>
      <c r="AD34" s="219">
        <f t="shared" si="14"/>
        <v>0</v>
      </c>
      <c r="AE34" s="219">
        <f t="shared" si="15"/>
        <v>0</v>
      </c>
      <c r="AF34" s="219">
        <f t="shared" si="16"/>
        <v>0</v>
      </c>
      <c r="AG34" s="219">
        <f t="shared" si="17"/>
        <v>0</v>
      </c>
      <c r="AH34" s="219">
        <f t="shared" si="18"/>
        <v>0</v>
      </c>
      <c r="AI34" s="219">
        <f t="shared" si="19"/>
        <v>0</v>
      </c>
      <c r="AJ34" s="219">
        <f t="shared" si="20"/>
        <v>0</v>
      </c>
      <c r="AK34" s="219">
        <f t="shared" si="21"/>
        <v>0</v>
      </c>
      <c r="AL34" s="219">
        <f t="shared" si="22"/>
        <v>0</v>
      </c>
      <c r="AM34" s="219">
        <f t="shared" si="23"/>
        <v>0</v>
      </c>
      <c r="AN34" s="301">
        <f t="shared" si="24"/>
        <v>0</v>
      </c>
      <c r="AO34" s="301">
        <f t="shared" si="25"/>
        <v>0</v>
      </c>
      <c r="AP34" s="301">
        <f t="shared" si="26"/>
        <v>0</v>
      </c>
      <c r="AQ34" s="301">
        <f t="shared" si="27"/>
        <v>0</v>
      </c>
      <c r="AR34" s="301">
        <f t="shared" si="28"/>
        <v>0</v>
      </c>
      <c r="AS34" s="301">
        <f t="shared" si="29"/>
        <v>0</v>
      </c>
      <c r="AT34" s="302">
        <f t="shared" si="30"/>
        <v>0</v>
      </c>
      <c r="AU34" s="302">
        <f t="shared" si="31"/>
        <v>0</v>
      </c>
      <c r="AV34" s="81">
        <f t="shared" si="32"/>
        <v>0</v>
      </c>
      <c r="AW34" s="82">
        <f t="shared" si="33"/>
        <v>0</v>
      </c>
      <c r="AX34" s="81">
        <f t="shared" si="34"/>
        <v>0</v>
      </c>
      <c r="AY34" s="83">
        <f t="shared" si="35"/>
        <v>0</v>
      </c>
      <c r="AZ34" s="83">
        <f t="shared" si="36"/>
        <v>0</v>
      </c>
      <c r="BA34" s="82">
        <f>IF(OR(B34=Feiertage!$A$16,B34=Feiertage!$A$19),U34*Zuschläge_24_31/100,IF(AZ34&gt;0,AZ34*Feiertag_mit/100,IF(AX34&gt;0,AX34*Zuschläge_Sa/100,IF(AY34&gt;0,AY34*Zuschlag_So/100,0))))</f>
        <v>0</v>
      </c>
      <c r="BB34" s="82">
        <f>IF(AND(B34&lt;&gt;0,G34=Voreinstellung_Übersicht!$D$41),IF(EG=1,W34*Über_klein/100,IF(EG=2,W34*Über_groß/100,"Fehler")),0)</f>
        <v>0</v>
      </c>
      <c r="BC34" s="299">
        <f t="shared" ca="1" si="41"/>
        <v>0</v>
      </c>
      <c r="BD34" s="219">
        <f t="shared" ca="1" si="37"/>
        <v>1</v>
      </c>
      <c r="BE34" s="303">
        <f ca="1">IF(B34="","",INDIRECT(ADDRESS(MATCH(B34,Soll_AZ,1)+MATCH("Arbeitszeit 1 ab",Voreinstellung_Übersicht!B:B,0)-1,4,,,"Voreinstellung_Übersicht"),TRUE))</f>
        <v>1.6666666666666665</v>
      </c>
      <c r="BF34" s="1">
        <f t="shared" si="42"/>
        <v>0</v>
      </c>
    </row>
    <row r="35" spans="1:104" s="1" customFormat="1" ht="15" x14ac:dyDescent="0.3">
      <c r="A35" s="218">
        <f t="shared" si="0"/>
        <v>52</v>
      </c>
      <c r="B35" s="47">
        <f t="shared" si="38"/>
        <v>42365</v>
      </c>
      <c r="C35" s="219">
        <f t="shared" si="1"/>
        <v>0</v>
      </c>
      <c r="D35" s="220" t="str">
        <f t="shared" si="2"/>
        <v/>
      </c>
      <c r="E35" s="298" t="str">
        <f t="shared" si="3"/>
        <v/>
      </c>
      <c r="F35" s="87">
        <f t="shared" si="4"/>
        <v>42365</v>
      </c>
      <c r="G35" s="147"/>
      <c r="H35" s="74"/>
      <c r="I35" s="75"/>
      <c r="J35" s="221">
        <f t="shared" si="5"/>
        <v>0</v>
      </c>
      <c r="K35" s="76"/>
      <c r="L35" s="221">
        <f t="shared" si="43"/>
        <v>0</v>
      </c>
      <c r="M35" s="74"/>
      <c r="N35" s="75"/>
      <c r="O35" s="221">
        <f t="shared" si="6"/>
        <v>0</v>
      </c>
      <c r="P35" s="76"/>
      <c r="Q35" s="221">
        <f t="shared" si="44"/>
        <v>0</v>
      </c>
      <c r="R35" s="221">
        <f t="shared" si="45"/>
        <v>0</v>
      </c>
      <c r="S35" s="221">
        <f t="shared" si="7"/>
        <v>0</v>
      </c>
      <c r="T35" s="79">
        <f t="shared" si="8"/>
        <v>0</v>
      </c>
      <c r="U35" s="79">
        <f t="shared" si="39"/>
        <v>0</v>
      </c>
      <c r="V35" s="80">
        <f t="shared" ca="1" si="9"/>
        <v>0</v>
      </c>
      <c r="W35" s="249" t="str">
        <f t="shared" ca="1" si="10"/>
        <v/>
      </c>
      <c r="X35" s="293"/>
      <c r="Y35" s="221">
        <f t="shared" si="11"/>
        <v>0</v>
      </c>
      <c r="Z35" s="299">
        <f ca="1">IF(B35="","",INDIRECT(ADDRESS(MATCH(B35,Soll_AZ,1)+MATCH("Arbeitszeit 1 ab",Voreinstellung_Übersicht!B:B,0)-1,WEEKDAY(B35,2)+4,,,"Voreinstellung_Übersicht"),TRUE))</f>
        <v>0</v>
      </c>
      <c r="AA35" s="300">
        <f t="shared" ca="1" si="40"/>
        <v>0</v>
      </c>
      <c r="AB35" s="219">
        <f t="shared" si="12"/>
        <v>0</v>
      </c>
      <c r="AC35" s="219">
        <f t="shared" si="13"/>
        <v>0</v>
      </c>
      <c r="AD35" s="219">
        <f t="shared" si="14"/>
        <v>0</v>
      </c>
      <c r="AE35" s="219">
        <f t="shared" si="15"/>
        <v>0</v>
      </c>
      <c r="AF35" s="219">
        <f t="shared" si="16"/>
        <v>0</v>
      </c>
      <c r="AG35" s="219">
        <f t="shared" si="17"/>
        <v>0</v>
      </c>
      <c r="AH35" s="219">
        <f t="shared" si="18"/>
        <v>0</v>
      </c>
      <c r="AI35" s="219">
        <f t="shared" si="19"/>
        <v>0</v>
      </c>
      <c r="AJ35" s="219">
        <f t="shared" si="20"/>
        <v>0</v>
      </c>
      <c r="AK35" s="219">
        <f t="shared" si="21"/>
        <v>0</v>
      </c>
      <c r="AL35" s="219">
        <f t="shared" si="22"/>
        <v>0</v>
      </c>
      <c r="AM35" s="219">
        <f t="shared" si="23"/>
        <v>0</v>
      </c>
      <c r="AN35" s="301">
        <f t="shared" si="24"/>
        <v>0</v>
      </c>
      <c r="AO35" s="301">
        <f t="shared" si="25"/>
        <v>0</v>
      </c>
      <c r="AP35" s="301">
        <f t="shared" si="26"/>
        <v>0</v>
      </c>
      <c r="AQ35" s="301">
        <f t="shared" si="27"/>
        <v>0</v>
      </c>
      <c r="AR35" s="301">
        <f t="shared" si="28"/>
        <v>0</v>
      </c>
      <c r="AS35" s="301">
        <f t="shared" si="29"/>
        <v>0</v>
      </c>
      <c r="AT35" s="302">
        <f t="shared" si="30"/>
        <v>0</v>
      </c>
      <c r="AU35" s="302">
        <f t="shared" si="31"/>
        <v>0</v>
      </c>
      <c r="AV35" s="81">
        <f t="shared" si="32"/>
        <v>0</v>
      </c>
      <c r="AW35" s="82">
        <f t="shared" si="33"/>
        <v>0</v>
      </c>
      <c r="AX35" s="81">
        <f t="shared" si="34"/>
        <v>0</v>
      </c>
      <c r="AY35" s="83">
        <f t="shared" si="35"/>
        <v>0</v>
      </c>
      <c r="AZ35" s="83">
        <f t="shared" si="36"/>
        <v>0</v>
      </c>
      <c r="BA35" s="82">
        <f>IF(OR(B35=Feiertage!$A$16,B35=Feiertage!$A$19),U35*Zuschläge_24_31/100,IF(AZ35&gt;0,AZ35*Feiertag_mit/100,IF(AX35&gt;0,AX35*Zuschläge_Sa/100,IF(AY35&gt;0,AY35*Zuschlag_So/100,0))))</f>
        <v>0</v>
      </c>
      <c r="BB35" s="82">
        <f>IF(AND(B35&lt;&gt;0,G35=Voreinstellung_Übersicht!$D$41),IF(EG=1,W35*Über_klein/100,IF(EG=2,W35*Über_groß/100,"Fehler")),0)</f>
        <v>0</v>
      </c>
      <c r="BC35" s="299">
        <f t="shared" ca="1" si="41"/>
        <v>0</v>
      </c>
      <c r="BD35" s="219">
        <f t="shared" ca="1" si="37"/>
        <v>1</v>
      </c>
      <c r="BE35" s="303">
        <f ca="1">IF(B35="","",INDIRECT(ADDRESS(MATCH(B35,Soll_AZ,1)+MATCH("Arbeitszeit 1 ab",Voreinstellung_Übersicht!B:B,0)-1,4,,,"Voreinstellung_Übersicht"),TRUE))</f>
        <v>1.6666666666666665</v>
      </c>
      <c r="BF35" s="1">
        <f t="shared" si="42"/>
        <v>0</v>
      </c>
    </row>
    <row r="36" spans="1:104" s="1" customFormat="1" ht="15" x14ac:dyDescent="0.3">
      <c r="A36" s="218">
        <f t="shared" si="0"/>
        <v>53</v>
      </c>
      <c r="B36" s="47">
        <f t="shared" si="38"/>
        <v>42366</v>
      </c>
      <c r="C36" s="219">
        <f t="shared" si="1"/>
        <v>0</v>
      </c>
      <c r="D36" s="220" t="str">
        <f t="shared" si="2"/>
        <v/>
      </c>
      <c r="E36" s="298" t="str">
        <f t="shared" si="3"/>
        <v/>
      </c>
      <c r="F36" s="87">
        <f t="shared" si="4"/>
        <v>42366</v>
      </c>
      <c r="G36" s="147"/>
      <c r="H36" s="74"/>
      <c r="I36" s="75"/>
      <c r="J36" s="221">
        <f t="shared" si="5"/>
        <v>0</v>
      </c>
      <c r="K36" s="76"/>
      <c r="L36" s="221">
        <f t="shared" si="43"/>
        <v>0</v>
      </c>
      <c r="M36" s="74"/>
      <c r="N36" s="75"/>
      <c r="O36" s="221">
        <f t="shared" si="6"/>
        <v>0</v>
      </c>
      <c r="P36" s="76"/>
      <c r="Q36" s="221">
        <f t="shared" si="44"/>
        <v>0</v>
      </c>
      <c r="R36" s="221">
        <f t="shared" si="45"/>
        <v>0</v>
      </c>
      <c r="S36" s="221">
        <f t="shared" si="7"/>
        <v>0</v>
      </c>
      <c r="T36" s="79">
        <f t="shared" si="8"/>
        <v>0</v>
      </c>
      <c r="U36" s="79">
        <f t="shared" si="39"/>
        <v>0</v>
      </c>
      <c r="V36" s="80">
        <f t="shared" ca="1" si="9"/>
        <v>0</v>
      </c>
      <c r="W36" s="249" t="str">
        <f t="shared" ca="1" si="10"/>
        <v/>
      </c>
      <c r="X36" s="293"/>
      <c r="Y36" s="221">
        <f t="shared" si="11"/>
        <v>0</v>
      </c>
      <c r="Z36" s="299">
        <f ca="1">IF(B36="","",INDIRECT(ADDRESS(MATCH(B36,Soll_AZ,1)+MATCH("Arbeitszeit 1 ab",Voreinstellung_Übersicht!B:B,0)-1,WEEKDAY(B36,2)+4,,,"Voreinstellung_Übersicht"),TRUE))</f>
        <v>0</v>
      </c>
      <c r="AA36" s="300">
        <f t="shared" ca="1" si="40"/>
        <v>0</v>
      </c>
      <c r="AB36" s="219">
        <f t="shared" si="12"/>
        <v>0</v>
      </c>
      <c r="AC36" s="219">
        <f t="shared" si="13"/>
        <v>0</v>
      </c>
      <c r="AD36" s="219">
        <f t="shared" si="14"/>
        <v>0</v>
      </c>
      <c r="AE36" s="219">
        <f t="shared" si="15"/>
        <v>0</v>
      </c>
      <c r="AF36" s="219">
        <f t="shared" si="16"/>
        <v>0</v>
      </c>
      <c r="AG36" s="219">
        <f t="shared" si="17"/>
        <v>0</v>
      </c>
      <c r="AH36" s="219">
        <f t="shared" si="18"/>
        <v>0</v>
      </c>
      <c r="AI36" s="219">
        <f t="shared" si="19"/>
        <v>0</v>
      </c>
      <c r="AJ36" s="219">
        <f t="shared" si="20"/>
        <v>0</v>
      </c>
      <c r="AK36" s="219">
        <f t="shared" si="21"/>
        <v>0</v>
      </c>
      <c r="AL36" s="219">
        <f t="shared" si="22"/>
        <v>0</v>
      </c>
      <c r="AM36" s="219">
        <f t="shared" si="23"/>
        <v>0</v>
      </c>
      <c r="AN36" s="301">
        <f t="shared" si="24"/>
        <v>0</v>
      </c>
      <c r="AO36" s="301">
        <f t="shared" si="25"/>
        <v>0</v>
      </c>
      <c r="AP36" s="301">
        <f t="shared" si="26"/>
        <v>0</v>
      </c>
      <c r="AQ36" s="301">
        <f t="shared" si="27"/>
        <v>0</v>
      </c>
      <c r="AR36" s="301">
        <f t="shared" si="28"/>
        <v>0</v>
      </c>
      <c r="AS36" s="301">
        <f t="shared" si="29"/>
        <v>0</v>
      </c>
      <c r="AT36" s="302">
        <f t="shared" si="30"/>
        <v>0</v>
      </c>
      <c r="AU36" s="302">
        <f t="shared" si="31"/>
        <v>0</v>
      </c>
      <c r="AV36" s="81">
        <f t="shared" si="32"/>
        <v>0</v>
      </c>
      <c r="AW36" s="82">
        <f t="shared" si="33"/>
        <v>0</v>
      </c>
      <c r="AX36" s="81">
        <f t="shared" si="34"/>
        <v>0</v>
      </c>
      <c r="AY36" s="83">
        <f t="shared" si="35"/>
        <v>0</v>
      </c>
      <c r="AZ36" s="83">
        <f t="shared" si="36"/>
        <v>0</v>
      </c>
      <c r="BA36" s="82">
        <f>IF(OR(B36=Feiertage!$A$16,B36=Feiertage!$A$19),U36*Zuschläge_24_31/100,IF(AZ36&gt;0,AZ36*Feiertag_mit/100,IF(AX36&gt;0,AX36*Zuschläge_Sa/100,IF(AY36&gt;0,AY36*Zuschlag_So/100,0))))</f>
        <v>0</v>
      </c>
      <c r="BB36" s="82">
        <f>IF(AND(B36&lt;&gt;0,G36=Voreinstellung_Übersicht!$D$41),IF(EG=1,W36*Über_klein/100,IF(EG=2,W36*Über_groß/100,"Fehler")),0)</f>
        <v>0</v>
      </c>
      <c r="BC36" s="299">
        <f t="shared" ca="1" si="41"/>
        <v>0</v>
      </c>
      <c r="BD36" s="219">
        <f t="shared" ca="1" si="37"/>
        <v>1</v>
      </c>
      <c r="BE36" s="303">
        <f ca="1">IF(B36="","",INDIRECT(ADDRESS(MATCH(B36,Soll_AZ,1)+MATCH("Arbeitszeit 1 ab",Voreinstellung_Übersicht!B:B,0)-1,4,,,"Voreinstellung_Übersicht"),TRUE))</f>
        <v>1.6666666666666665</v>
      </c>
      <c r="BF36" s="1">
        <f t="shared" si="42"/>
        <v>0</v>
      </c>
    </row>
    <row r="37" spans="1:104" s="1" customFormat="1" ht="15" x14ac:dyDescent="0.3">
      <c r="A37" s="218">
        <f t="shared" si="0"/>
        <v>53</v>
      </c>
      <c r="B37" s="47">
        <f t="shared" si="38"/>
        <v>42367</v>
      </c>
      <c r="C37" s="219">
        <f t="shared" si="1"/>
        <v>1</v>
      </c>
      <c r="D37" s="220" t="str">
        <f t="shared" si="2"/>
        <v/>
      </c>
      <c r="E37" s="298" t="str">
        <f t="shared" si="3"/>
        <v/>
      </c>
      <c r="F37" s="87">
        <f t="shared" si="4"/>
        <v>42367</v>
      </c>
      <c r="G37" s="147"/>
      <c r="H37" s="74"/>
      <c r="I37" s="75"/>
      <c r="J37" s="221">
        <f t="shared" si="5"/>
        <v>0</v>
      </c>
      <c r="K37" s="76"/>
      <c r="L37" s="221">
        <f t="shared" si="43"/>
        <v>0</v>
      </c>
      <c r="M37" s="74"/>
      <c r="N37" s="75"/>
      <c r="O37" s="221">
        <f t="shared" si="6"/>
        <v>0</v>
      </c>
      <c r="P37" s="76"/>
      <c r="Q37" s="221">
        <f t="shared" si="44"/>
        <v>0</v>
      </c>
      <c r="R37" s="221">
        <f t="shared" si="45"/>
        <v>0</v>
      </c>
      <c r="S37" s="221">
        <f t="shared" si="7"/>
        <v>0</v>
      </c>
      <c r="T37" s="79">
        <f t="shared" si="8"/>
        <v>0</v>
      </c>
      <c r="U37" s="79">
        <f t="shared" si="39"/>
        <v>0</v>
      </c>
      <c r="V37" s="80">
        <f t="shared" ca="1" si="9"/>
        <v>0.33333333329999998</v>
      </c>
      <c r="W37" s="249" t="str">
        <f t="shared" ca="1" si="10"/>
        <v/>
      </c>
      <c r="X37" s="293"/>
      <c r="Y37" s="221">
        <f t="shared" si="11"/>
        <v>0</v>
      </c>
      <c r="Z37" s="299">
        <f ca="1">IF(B37="","",INDIRECT(ADDRESS(MATCH(B37,Soll_AZ,1)+MATCH("Arbeitszeit 1 ab",Voreinstellung_Übersicht!B:B,0)-1,WEEKDAY(B37,2)+4,,,"Voreinstellung_Übersicht"),TRUE))</f>
        <v>0.33333333333333331</v>
      </c>
      <c r="AA37" s="300">
        <f t="shared" ca="1" si="40"/>
        <v>0</v>
      </c>
      <c r="AB37" s="219">
        <f t="shared" si="12"/>
        <v>0</v>
      </c>
      <c r="AC37" s="219">
        <f t="shared" si="13"/>
        <v>0</v>
      </c>
      <c r="AD37" s="219">
        <f t="shared" si="14"/>
        <v>0</v>
      </c>
      <c r="AE37" s="219">
        <f t="shared" si="15"/>
        <v>0</v>
      </c>
      <c r="AF37" s="219">
        <f t="shared" si="16"/>
        <v>0</v>
      </c>
      <c r="AG37" s="219">
        <f t="shared" si="17"/>
        <v>0</v>
      </c>
      <c r="AH37" s="219">
        <f t="shared" si="18"/>
        <v>0</v>
      </c>
      <c r="AI37" s="219">
        <f t="shared" si="19"/>
        <v>0</v>
      </c>
      <c r="AJ37" s="219">
        <f t="shared" si="20"/>
        <v>0</v>
      </c>
      <c r="AK37" s="219">
        <f t="shared" si="21"/>
        <v>0</v>
      </c>
      <c r="AL37" s="219">
        <f t="shared" si="22"/>
        <v>0</v>
      </c>
      <c r="AM37" s="219">
        <f t="shared" si="23"/>
        <v>0</v>
      </c>
      <c r="AN37" s="301">
        <f t="shared" si="24"/>
        <v>0</v>
      </c>
      <c r="AO37" s="301">
        <f t="shared" si="25"/>
        <v>0</v>
      </c>
      <c r="AP37" s="301">
        <f t="shared" si="26"/>
        <v>0</v>
      </c>
      <c r="AQ37" s="301">
        <f t="shared" si="27"/>
        <v>0</v>
      </c>
      <c r="AR37" s="301">
        <f t="shared" si="28"/>
        <v>0</v>
      </c>
      <c r="AS37" s="301">
        <f t="shared" si="29"/>
        <v>0</v>
      </c>
      <c r="AT37" s="302">
        <f t="shared" si="30"/>
        <v>0</v>
      </c>
      <c r="AU37" s="302">
        <f t="shared" si="31"/>
        <v>0</v>
      </c>
      <c r="AV37" s="81">
        <f t="shared" si="32"/>
        <v>0</v>
      </c>
      <c r="AW37" s="82">
        <f t="shared" si="33"/>
        <v>0</v>
      </c>
      <c r="AX37" s="81">
        <f t="shared" si="34"/>
        <v>0</v>
      </c>
      <c r="AY37" s="83">
        <f t="shared" si="35"/>
        <v>0</v>
      </c>
      <c r="AZ37" s="83">
        <f t="shared" si="36"/>
        <v>0</v>
      </c>
      <c r="BA37" s="82">
        <f>IF(OR(B37=Feiertage!$A$16,B37=Feiertage!$A$19),U37*Zuschläge_24_31/100,IF(AZ37&gt;0,AZ37*Feiertag_mit/100,IF(AX37&gt;0,AX37*Zuschläge_Sa/100,IF(AY37&gt;0,AY37*Zuschlag_So/100,0))))</f>
        <v>0</v>
      </c>
      <c r="BB37" s="82">
        <f>IF(AND(B37&lt;&gt;0,G37=Voreinstellung_Übersicht!$D$41),IF(EG=1,W37*Über_klein/100,IF(EG=2,W37*Über_groß/100,"Fehler")),0)</f>
        <v>0</v>
      </c>
      <c r="BC37" s="299">
        <f t="shared" ca="1" si="41"/>
        <v>0</v>
      </c>
      <c r="BD37" s="219">
        <f t="shared" ca="1" si="37"/>
        <v>1</v>
      </c>
      <c r="BE37" s="303">
        <f ca="1">IF(B37="","",INDIRECT(ADDRESS(MATCH(B37,Soll_AZ,1)+MATCH("Arbeitszeit 1 ab",Voreinstellung_Übersicht!B:B,0)-1,4,,,"Voreinstellung_Übersicht"),TRUE))</f>
        <v>1.6666666666666665</v>
      </c>
      <c r="BF37" s="1">
        <f t="shared" si="42"/>
        <v>0</v>
      </c>
    </row>
    <row r="38" spans="1:104" s="172" customFormat="1" ht="15" x14ac:dyDescent="0.3">
      <c r="A38" s="229">
        <f t="shared" si="0"/>
        <v>53</v>
      </c>
      <c r="B38" s="217">
        <f t="shared" si="38"/>
        <v>42368</v>
      </c>
      <c r="C38" s="230">
        <f t="shared" si="1"/>
        <v>0</v>
      </c>
      <c r="D38" s="231" t="str">
        <f t="shared" si="2"/>
        <v>Silvester</v>
      </c>
      <c r="E38" s="304" t="str">
        <f t="shared" si="3"/>
        <v>Silvester</v>
      </c>
      <c r="F38" s="216">
        <f t="shared" si="4"/>
        <v>42368</v>
      </c>
      <c r="G38" s="147"/>
      <c r="H38" s="77"/>
      <c r="I38" s="75"/>
      <c r="J38" s="221">
        <f t="shared" si="5"/>
        <v>0</v>
      </c>
      <c r="K38" s="76"/>
      <c r="L38" s="221">
        <f t="shared" si="43"/>
        <v>0</v>
      </c>
      <c r="M38" s="77"/>
      <c r="N38" s="215"/>
      <c r="O38" s="232">
        <f t="shared" si="6"/>
        <v>0</v>
      </c>
      <c r="P38" s="78"/>
      <c r="Q38" s="221">
        <f t="shared" si="44"/>
        <v>0</v>
      </c>
      <c r="R38" s="221">
        <f t="shared" si="45"/>
        <v>0</v>
      </c>
      <c r="S38" s="221">
        <f t="shared" si="7"/>
        <v>0</v>
      </c>
      <c r="T38" s="79">
        <f t="shared" si="8"/>
        <v>0</v>
      </c>
      <c r="U38" s="79">
        <f t="shared" si="39"/>
        <v>0</v>
      </c>
      <c r="V38" s="80">
        <f t="shared" si="9"/>
        <v>0</v>
      </c>
      <c r="W38" s="249" t="str">
        <f t="shared" si="10"/>
        <v/>
      </c>
      <c r="X38" s="294"/>
      <c r="Y38" s="221">
        <f t="shared" si="11"/>
        <v>0</v>
      </c>
      <c r="Z38" s="299">
        <f ca="1">IF(B38="","",INDIRECT(ADDRESS(MATCH(B38,Soll_AZ,1)+MATCH("Arbeitszeit 1 ab",Voreinstellung_Übersicht!B:B,0)-1,WEEKDAY(B38,2)+4,,,"Voreinstellung_Übersicht"),TRUE))</f>
        <v>0.33333333333333331</v>
      </c>
      <c r="AA38" s="300">
        <f t="shared" ca="1" si="40"/>
        <v>0</v>
      </c>
      <c r="AB38" s="219">
        <f t="shared" si="12"/>
        <v>0</v>
      </c>
      <c r="AC38" s="219">
        <f t="shared" si="13"/>
        <v>0</v>
      </c>
      <c r="AD38" s="219">
        <f t="shared" si="14"/>
        <v>0</v>
      </c>
      <c r="AE38" s="219">
        <f t="shared" si="15"/>
        <v>0</v>
      </c>
      <c r="AF38" s="219">
        <f t="shared" si="16"/>
        <v>0</v>
      </c>
      <c r="AG38" s="219">
        <f t="shared" si="17"/>
        <v>0</v>
      </c>
      <c r="AH38" s="219">
        <f t="shared" si="18"/>
        <v>0</v>
      </c>
      <c r="AI38" s="219">
        <f t="shared" si="19"/>
        <v>0</v>
      </c>
      <c r="AJ38" s="219">
        <f t="shared" si="20"/>
        <v>0</v>
      </c>
      <c r="AK38" s="219">
        <f t="shared" si="21"/>
        <v>0</v>
      </c>
      <c r="AL38" s="219">
        <f t="shared" si="22"/>
        <v>0</v>
      </c>
      <c r="AM38" s="219">
        <f t="shared" si="23"/>
        <v>0</v>
      </c>
      <c r="AN38" s="301">
        <f t="shared" si="24"/>
        <v>0</v>
      </c>
      <c r="AO38" s="301">
        <f t="shared" si="25"/>
        <v>0</v>
      </c>
      <c r="AP38" s="301">
        <f t="shared" si="26"/>
        <v>0</v>
      </c>
      <c r="AQ38" s="301">
        <f t="shared" si="27"/>
        <v>0</v>
      </c>
      <c r="AR38" s="301">
        <f t="shared" si="28"/>
        <v>0</v>
      </c>
      <c r="AS38" s="301">
        <f t="shared" si="29"/>
        <v>0</v>
      </c>
      <c r="AT38" s="302">
        <f t="shared" si="30"/>
        <v>0</v>
      </c>
      <c r="AU38" s="302">
        <f t="shared" si="31"/>
        <v>0</v>
      </c>
      <c r="AV38" s="81">
        <f t="shared" si="32"/>
        <v>0</v>
      </c>
      <c r="AW38" s="82">
        <f t="shared" si="33"/>
        <v>0</v>
      </c>
      <c r="AX38" s="81">
        <f t="shared" si="34"/>
        <v>0</v>
      </c>
      <c r="AY38" s="212">
        <f t="shared" si="35"/>
        <v>0</v>
      </c>
      <c r="AZ38" s="212">
        <f t="shared" si="36"/>
        <v>0</v>
      </c>
      <c r="BA38" s="213">
        <f>IF(OR(B38=Feiertage!$A$16,B38=Feiertage!$A$19),U38*Zuschläge_24_31/100,IF(AZ38&gt;0,AZ38*Feiertag_mit/100,IF(AX38&gt;0,AX38*Zuschläge_Sa/100,IF(AY38&gt;0,AY38*Zuschlag_So/100,0))))</f>
        <v>0</v>
      </c>
      <c r="BB38" s="213">
        <f>IF(AND(B38&lt;&gt;0,G38=Voreinstellung_Übersicht!$D$41),IF(EG=1,W38*Über_klein/100,IF(EG=2,W38*Über_groß/100,"Fehler")),0)</f>
        <v>0</v>
      </c>
      <c r="BC38" s="305">
        <f t="shared" ca="1" si="41"/>
        <v>0</v>
      </c>
      <c r="BD38" s="219">
        <f t="shared" ca="1" si="37"/>
        <v>1</v>
      </c>
      <c r="BE38" s="306">
        <f ca="1">IF(B38="","",INDIRECT(ADDRESS(MATCH(B38,Soll_AZ,1)+MATCH("Arbeitszeit 1 ab",Voreinstellung_Übersicht!B:B,0)-1,4,,,"Voreinstellung_Übersicht"),TRUE))</f>
        <v>1.6666666666666665</v>
      </c>
      <c r="BF38" s="1">
        <f t="shared" si="42"/>
        <v>0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5" x14ac:dyDescent="0.25">
      <c r="A39" s="233"/>
      <c r="B39" s="233"/>
      <c r="C39" s="233"/>
      <c r="D39" s="233"/>
      <c r="E39" s="233"/>
      <c r="F39" s="488" t="s">
        <v>49</v>
      </c>
      <c r="G39" s="489"/>
      <c r="H39" s="482" t="s">
        <v>171</v>
      </c>
      <c r="I39" s="483"/>
      <c r="J39" s="307"/>
      <c r="K39" s="308">
        <f>AB39</f>
        <v>0</v>
      </c>
      <c r="L39" s="221"/>
      <c r="M39" s="206"/>
      <c r="N39" s="206"/>
      <c r="O39" s="221"/>
      <c r="P39" s="206"/>
      <c r="Q39" s="221"/>
      <c r="R39" s="221"/>
      <c r="S39" s="221"/>
      <c r="T39" s="479" t="s">
        <v>172</v>
      </c>
      <c r="U39" s="482" t="s">
        <v>171</v>
      </c>
      <c r="V39" s="483"/>
      <c r="W39" s="234">
        <f ca="1">Nov!W41</f>
        <v>0</v>
      </c>
      <c r="X39" s="309"/>
      <c r="Y39" s="221" t="s">
        <v>173</v>
      </c>
      <c r="Z39" s="299" t="s">
        <v>174</v>
      </c>
      <c r="AA39" s="300"/>
      <c r="AB39" s="219">
        <f>Nov!AB41</f>
        <v>0</v>
      </c>
      <c r="AC39" s="219">
        <f>Nov!AC41</f>
        <v>0</v>
      </c>
      <c r="AD39" s="219">
        <f>Nov!AD41</f>
        <v>0</v>
      </c>
      <c r="AE39" s="219">
        <f>Nov!AE41</f>
        <v>0</v>
      </c>
      <c r="AF39" s="219">
        <f>Nov!AF41</f>
        <v>0</v>
      </c>
      <c r="AG39" s="219">
        <f>Nov!AG41</f>
        <v>0</v>
      </c>
      <c r="AH39" s="219">
        <f>Nov!AH41</f>
        <v>0</v>
      </c>
      <c r="AI39" s="219">
        <f>Nov!AI41</f>
        <v>0</v>
      </c>
      <c r="AJ39" s="219">
        <f>Nov!AJ41</f>
        <v>0</v>
      </c>
      <c r="AK39" s="219">
        <f>Nov!AK41</f>
        <v>0</v>
      </c>
      <c r="AL39" s="219">
        <f>Nov!AL41</f>
        <v>0</v>
      </c>
      <c r="AM39" s="219">
        <f>Nov!AM41</f>
        <v>0</v>
      </c>
      <c r="AN39" s="301"/>
      <c r="AO39" s="301"/>
      <c r="AP39" s="301"/>
      <c r="AQ39" s="301"/>
      <c r="AR39" s="301"/>
      <c r="AS39" s="301"/>
      <c r="AT39" s="302"/>
      <c r="AU39" s="302"/>
      <c r="AV39" s="484" t="s">
        <v>176</v>
      </c>
      <c r="AW39" s="234">
        <f>Voreinstellung_Übersicht!H12</f>
        <v>0</v>
      </c>
      <c r="AX39" s="310">
        <f>IF(AZ_Konto,SUM(AW8:AW38),0)</f>
        <v>0</v>
      </c>
      <c r="AY39" s="311"/>
      <c r="AZ39" s="312"/>
      <c r="BA39" s="311">
        <f>IF(AZ_Konto,SUM(BA8:BA38),0)</f>
        <v>0</v>
      </c>
      <c r="BB39" s="311">
        <f>IF(AZ_Konto,SUM(BB8:BB38),0)</f>
        <v>0</v>
      </c>
      <c r="BC39" s="299">
        <f ca="1">BC38</f>
        <v>0</v>
      </c>
      <c r="BD39" s="219"/>
      <c r="BE39" s="303"/>
      <c r="BF39"/>
    </row>
    <row r="40" spans="1:104" ht="15" x14ac:dyDescent="0.25">
      <c r="A40" s="233"/>
      <c r="B40" s="233"/>
      <c r="C40" s="233"/>
      <c r="D40" s="233"/>
      <c r="E40" s="233"/>
      <c r="F40" s="488"/>
      <c r="G40" s="490"/>
      <c r="H40" s="482" t="s">
        <v>177</v>
      </c>
      <c r="I40" s="483"/>
      <c r="J40" s="235"/>
      <c r="K40" s="236">
        <f>-AB40</f>
        <v>0</v>
      </c>
      <c r="L40" s="221"/>
      <c r="M40" s="206"/>
      <c r="N40" s="206"/>
      <c r="O40" s="221"/>
      <c r="P40" s="206"/>
      <c r="Q40" s="221"/>
      <c r="R40" s="221"/>
      <c r="S40" s="221"/>
      <c r="T40" s="480"/>
      <c r="U40" s="482" t="s">
        <v>177</v>
      </c>
      <c r="V40" s="483"/>
      <c r="W40" s="237">
        <f ca="1">SUM(W8:W38)</f>
        <v>0</v>
      </c>
      <c r="X40" s="309"/>
      <c r="Y40" s="221">
        <f>SUM(Y8:Y38)</f>
        <v>0</v>
      </c>
      <c r="Z40" s="299">
        <f ca="1">SUM(Z8:Z38)</f>
        <v>7.3333333333333304</v>
      </c>
      <c r="AA40" s="300"/>
      <c r="AB40" s="219">
        <f t="shared" ref="AB40:AM40" si="46">SUM(AB8:AB38)</f>
        <v>0</v>
      </c>
      <c r="AC40" s="219">
        <f t="shared" si="46"/>
        <v>0</v>
      </c>
      <c r="AD40" s="219">
        <f t="shared" si="46"/>
        <v>0</v>
      </c>
      <c r="AE40" s="219">
        <f t="shared" si="46"/>
        <v>0</v>
      </c>
      <c r="AF40" s="219">
        <f t="shared" si="46"/>
        <v>0</v>
      </c>
      <c r="AG40" s="219">
        <f t="shared" si="46"/>
        <v>0</v>
      </c>
      <c r="AH40" s="219">
        <f t="shared" si="46"/>
        <v>0</v>
      </c>
      <c r="AI40" s="219">
        <f t="shared" si="46"/>
        <v>0</v>
      </c>
      <c r="AJ40" s="219">
        <f t="shared" si="46"/>
        <v>0</v>
      </c>
      <c r="AK40" s="219">
        <f t="shared" si="46"/>
        <v>0</v>
      </c>
      <c r="AL40" s="219">
        <f t="shared" si="46"/>
        <v>0</v>
      </c>
      <c r="AM40" s="219">
        <f t="shared" si="46"/>
        <v>0</v>
      </c>
      <c r="AN40" s="301"/>
      <c r="AO40" s="301"/>
      <c r="AP40" s="301"/>
      <c r="AQ40" s="301"/>
      <c r="AR40" s="301"/>
      <c r="AS40" s="301"/>
      <c r="AT40" s="302"/>
      <c r="AU40" s="302"/>
      <c r="AV40" s="485"/>
      <c r="AW40" s="237" t="str">
        <f>IF(SUM(AX39,BA39,BB39)&gt;0,SUM(AX39,BA39,BB39),"")</f>
        <v/>
      </c>
      <c r="AX40" s="313"/>
      <c r="AY40" s="313"/>
      <c r="AZ40" s="313"/>
      <c r="BA40" s="313"/>
      <c r="BB40" s="313"/>
      <c r="BC40" s="299"/>
      <c r="BD40" s="219"/>
      <c r="BE40" s="303"/>
      <c r="BF40"/>
    </row>
    <row r="41" spans="1:104" ht="15" x14ac:dyDescent="0.25">
      <c r="A41" s="233"/>
      <c r="B41" s="233"/>
      <c r="C41" s="233"/>
      <c r="D41" s="233"/>
      <c r="E41" s="233"/>
      <c r="F41" s="491"/>
      <c r="G41" s="492"/>
      <c r="H41" s="482" t="s">
        <v>178</v>
      </c>
      <c r="I41" s="483"/>
      <c r="J41" s="238"/>
      <c r="K41" s="239">
        <f>AB41</f>
        <v>0</v>
      </c>
      <c r="L41" s="221"/>
      <c r="M41" s="206"/>
      <c r="N41" s="206"/>
      <c r="O41" s="221"/>
      <c r="P41" s="206"/>
      <c r="Q41" s="221"/>
      <c r="R41" s="221"/>
      <c r="S41" s="221"/>
      <c r="T41" s="481"/>
      <c r="U41" s="482" t="s">
        <v>178</v>
      </c>
      <c r="V41" s="483"/>
      <c r="W41" s="240">
        <f ca="1">SUM(W39:W40)</f>
        <v>0</v>
      </c>
      <c r="X41" s="309"/>
      <c r="Y41" s="221"/>
      <c r="Z41" s="299"/>
      <c r="AA41" s="300"/>
      <c r="AB41" s="219">
        <f>AB39-AB40</f>
        <v>0</v>
      </c>
      <c r="AC41" s="219">
        <f t="shared" ref="AC41:AM41" si="47">SUM(AC39:AC40)</f>
        <v>0</v>
      </c>
      <c r="AD41" s="219">
        <f t="shared" si="47"/>
        <v>0</v>
      </c>
      <c r="AE41" s="219">
        <f t="shared" si="47"/>
        <v>0</v>
      </c>
      <c r="AF41" s="219">
        <f t="shared" si="47"/>
        <v>0</v>
      </c>
      <c r="AG41" s="219">
        <f t="shared" si="47"/>
        <v>0</v>
      </c>
      <c r="AH41" s="219">
        <f t="shared" si="47"/>
        <v>0</v>
      </c>
      <c r="AI41" s="219">
        <f t="shared" si="47"/>
        <v>0</v>
      </c>
      <c r="AJ41" s="219">
        <f t="shared" si="47"/>
        <v>0</v>
      </c>
      <c r="AK41" s="219">
        <f t="shared" si="47"/>
        <v>0</v>
      </c>
      <c r="AL41" s="219">
        <f t="shared" si="47"/>
        <v>0</v>
      </c>
      <c r="AM41" s="219">
        <f t="shared" si="47"/>
        <v>0</v>
      </c>
      <c r="AN41" s="301"/>
      <c r="AO41" s="301"/>
      <c r="AP41" s="301"/>
      <c r="AQ41" s="301"/>
      <c r="AR41" s="301"/>
      <c r="AS41" s="301"/>
      <c r="AT41" s="302"/>
      <c r="AU41" s="302"/>
      <c r="AV41" s="486"/>
      <c r="AW41" s="240">
        <f>SUM(AW39:AW40)</f>
        <v>0</v>
      </c>
      <c r="AX41" s="314"/>
      <c r="AY41" s="314"/>
      <c r="AZ41" s="314"/>
      <c r="BA41" s="314"/>
      <c r="BB41" s="314"/>
      <c r="BC41" s="299"/>
      <c r="BD41" s="219"/>
      <c r="BE41" s="303"/>
      <c r="BF41"/>
    </row>
    <row r="42" spans="1:104" s="1" customFormat="1" ht="15" x14ac:dyDescent="0.3">
      <c r="A42" s="88"/>
      <c r="B42" s="47"/>
      <c r="C42" s="6"/>
      <c r="D42" s="89"/>
      <c r="E42" s="90"/>
      <c r="F42" s="487" t="s">
        <v>179</v>
      </c>
      <c r="G42" s="487"/>
      <c r="H42" s="487"/>
      <c r="I42" s="487"/>
      <c r="J42" s="347"/>
      <c r="K42" s="186">
        <f>NETWORKDAYS(B8,B38,Feiertage)</f>
        <v>18</v>
      </c>
      <c r="L42" s="331"/>
      <c r="M42" s="330"/>
      <c r="N42" s="330"/>
      <c r="O42" s="331"/>
      <c r="P42" s="330"/>
      <c r="Q42" s="331"/>
      <c r="R42" s="331"/>
      <c r="S42" s="331"/>
      <c r="T42" s="332"/>
      <c r="U42" s="332"/>
      <c r="V42" s="332"/>
      <c r="W42" s="332"/>
      <c r="X42" s="333"/>
      <c r="Y42" s="331"/>
      <c r="Z42" s="334"/>
      <c r="AA42" s="335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7"/>
      <c r="AO42" s="337"/>
      <c r="AP42" s="337"/>
      <c r="AQ42" s="337"/>
      <c r="AR42" s="337"/>
      <c r="AS42" s="337"/>
      <c r="AT42" s="338"/>
      <c r="AU42" s="338"/>
      <c r="AV42" s="339"/>
      <c r="AW42" s="340"/>
      <c r="AX42" s="83"/>
      <c r="AY42" s="83"/>
      <c r="AZ42" s="83"/>
      <c r="BA42" s="173"/>
      <c r="BB42" s="173"/>
      <c r="BC42" s="15"/>
      <c r="BD42" s="6"/>
      <c r="BE42" s="169"/>
    </row>
    <row r="43" spans="1:104" s="1" customFormat="1" ht="15" x14ac:dyDescent="0.3">
      <c r="A43" s="11"/>
      <c r="B43" s="47"/>
      <c r="C43" s="6"/>
      <c r="D43" s="6"/>
      <c r="E43" s="12"/>
      <c r="F43" s="487" t="s">
        <v>180</v>
      </c>
      <c r="G43" s="487"/>
      <c r="H43" s="487"/>
      <c r="I43" s="487"/>
      <c r="J43" s="348"/>
      <c r="K43" s="186">
        <f>SUM(BF8:BF38)</f>
        <v>0</v>
      </c>
      <c r="L43" s="336"/>
      <c r="M43" s="341"/>
      <c r="N43" s="341"/>
      <c r="O43" s="336"/>
      <c r="P43" s="341"/>
      <c r="Q43" s="336"/>
      <c r="R43" s="336"/>
      <c r="S43" s="336"/>
      <c r="T43" s="341"/>
      <c r="U43" s="341"/>
      <c r="V43" s="341"/>
      <c r="W43" s="341"/>
      <c r="X43" s="342"/>
      <c r="Y43" s="331"/>
      <c r="Z43" s="343"/>
      <c r="AA43" s="344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45"/>
      <c r="AO43" s="336"/>
      <c r="AP43" s="336"/>
      <c r="AQ43" s="336"/>
      <c r="AR43" s="336"/>
      <c r="AS43" s="336"/>
      <c r="AT43" s="346"/>
      <c r="AU43" s="346"/>
      <c r="AV43" s="341"/>
      <c r="AW43" s="341"/>
      <c r="AX43" s="26"/>
      <c r="AY43" s="26"/>
      <c r="AZ43" s="26"/>
      <c r="BA43" s="26"/>
      <c r="BC43" s="6"/>
      <c r="BD43" s="6"/>
      <c r="BE43" s="6"/>
    </row>
    <row r="44" spans="1:104" x14ac:dyDescent="0.3">
      <c r="A44" s="11"/>
      <c r="B44" s="47"/>
      <c r="C44" s="6"/>
      <c r="D44" s="6"/>
      <c r="E44" s="12"/>
      <c r="F44" s="329"/>
      <c r="G44" s="329"/>
      <c r="H44" s="341"/>
      <c r="I44" s="341"/>
      <c r="J44" s="336"/>
      <c r="K44" s="341"/>
      <c r="L44" s="336"/>
      <c r="M44" s="341"/>
      <c r="N44" s="341"/>
      <c r="O44" s="336"/>
      <c r="P44" s="341"/>
      <c r="Q44" s="336"/>
      <c r="R44" s="336"/>
      <c r="S44" s="336"/>
      <c r="T44" s="341"/>
      <c r="U44" s="341"/>
      <c r="V44" s="341"/>
      <c r="W44" s="341"/>
      <c r="X44" s="342"/>
      <c r="Y44" s="331"/>
      <c r="Z44" s="343"/>
      <c r="AA44" s="344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45"/>
      <c r="AO44" s="336"/>
      <c r="AP44" s="336"/>
      <c r="AQ44" s="336"/>
      <c r="AR44" s="336"/>
      <c r="AS44" s="336"/>
      <c r="AT44" s="346"/>
      <c r="AU44" s="346"/>
      <c r="AV44" s="341"/>
      <c r="AW44" s="341"/>
      <c r="AX44" s="26"/>
      <c r="AY44" s="26"/>
      <c r="AZ44" s="26"/>
      <c r="BA44" s="26"/>
      <c r="BB44" s="1"/>
      <c r="BC44" s="6"/>
      <c r="BD44" s="6"/>
      <c r="BE44" s="6"/>
      <c r="BG44" s="1"/>
    </row>
    <row r="45" spans="1:104" x14ac:dyDescent="0.3">
      <c r="A45" s="11"/>
      <c r="B45" s="47"/>
      <c r="C45" s="6"/>
      <c r="D45" s="6"/>
      <c r="E45" s="12"/>
      <c r="F45" s="329"/>
      <c r="G45" s="329"/>
      <c r="H45" s="341"/>
      <c r="I45" s="341"/>
      <c r="J45" s="336"/>
      <c r="K45" s="341"/>
      <c r="L45" s="336"/>
      <c r="M45" s="341"/>
      <c r="N45" s="341"/>
      <c r="O45" s="336"/>
      <c r="P45" s="341"/>
      <c r="Q45" s="336"/>
      <c r="R45" s="336"/>
      <c r="S45" s="336"/>
      <c r="T45" s="341"/>
      <c r="U45" s="341"/>
      <c r="V45" s="341"/>
      <c r="W45" s="341"/>
      <c r="X45" s="342"/>
      <c r="Y45" s="331"/>
      <c r="Z45" s="343"/>
      <c r="AA45" s="344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45"/>
      <c r="AO45" s="336"/>
      <c r="AP45" s="336"/>
      <c r="AQ45" s="336"/>
      <c r="AR45" s="336"/>
      <c r="AS45" s="336"/>
      <c r="AT45" s="346"/>
      <c r="AU45" s="346"/>
      <c r="AV45" s="341"/>
      <c r="AW45" s="341"/>
      <c r="AX45" s="26"/>
      <c r="AY45" s="26"/>
      <c r="AZ45" s="26"/>
      <c r="BA45" s="26"/>
      <c r="BB45" s="1"/>
      <c r="BC45" s="6"/>
      <c r="BD45" s="6"/>
      <c r="BE45" s="6"/>
      <c r="BG45" s="1"/>
    </row>
    <row r="46" spans="1:104" x14ac:dyDescent="0.3">
      <c r="A46" s="11"/>
      <c r="B46" s="47"/>
      <c r="C46" s="6"/>
      <c r="D46" s="6"/>
      <c r="E46" s="12"/>
      <c r="F46" s="329"/>
      <c r="G46" s="329"/>
      <c r="H46" s="341"/>
      <c r="I46" s="341"/>
      <c r="J46" s="336"/>
      <c r="K46" s="341"/>
      <c r="L46" s="336"/>
      <c r="M46" s="341"/>
      <c r="N46" s="341"/>
      <c r="O46" s="336"/>
      <c r="P46" s="341"/>
      <c r="Q46" s="336"/>
      <c r="R46" s="336"/>
      <c r="S46" s="336"/>
      <c r="T46" s="341"/>
      <c r="U46" s="341"/>
      <c r="V46" s="341"/>
      <c r="W46" s="341"/>
      <c r="X46" s="342"/>
      <c r="Y46" s="331"/>
      <c r="Z46" s="343"/>
      <c r="AA46" s="344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45"/>
      <c r="AO46" s="336"/>
      <c r="AP46" s="336"/>
      <c r="AQ46" s="336"/>
      <c r="AR46" s="336"/>
      <c r="AS46" s="336"/>
      <c r="AT46" s="346"/>
      <c r="AU46" s="346"/>
      <c r="AV46" s="341"/>
      <c r="AW46" s="341"/>
      <c r="AX46" s="26"/>
      <c r="AY46" s="26"/>
      <c r="AZ46" s="26"/>
      <c r="BA46" s="26"/>
      <c r="BB46" s="1"/>
      <c r="BC46" s="6"/>
      <c r="BD46" s="6"/>
      <c r="BE46" s="6"/>
      <c r="BG46" s="1"/>
    </row>
  </sheetData>
  <sheetProtection algorithmName="SHA-512" hashValue="UH0toqsRvsr4RtiAoPPMVbSpENSdkqVU7c0+Lqa1eMs+AFdIrPpAl+CCtMSR57QjJ79jvl+vWmwgYYuOf6dfSw==" saltValue="BD/Xrq2g6BA7T6gGWAIKjw==" spinCount="100000" sheet="1" objects="1" scenarios="1" formatCells="0" selectLockedCells="1"/>
  <mergeCells count="26">
    <mergeCell ref="F42:I42"/>
    <mergeCell ref="F43:I43"/>
    <mergeCell ref="AV6:AW6"/>
    <mergeCell ref="H3:I3"/>
    <mergeCell ref="AN2:AS4"/>
    <mergeCell ref="F6:F7"/>
    <mergeCell ref="G6:G7"/>
    <mergeCell ref="H6:P6"/>
    <mergeCell ref="E3:G3"/>
    <mergeCell ref="E4:G4"/>
    <mergeCell ref="AV39:AV41"/>
    <mergeCell ref="AX6:BA6"/>
    <mergeCell ref="F39:G41"/>
    <mergeCell ref="T39:T41"/>
    <mergeCell ref="H41:I41"/>
    <mergeCell ref="U41:V41"/>
    <mergeCell ref="H39:I39"/>
    <mergeCell ref="U39:V39"/>
    <mergeCell ref="H40:I40"/>
    <mergeCell ref="U40:V40"/>
    <mergeCell ref="AA3:AA6"/>
    <mergeCell ref="AN6:AS6"/>
    <mergeCell ref="AT6:AU6"/>
    <mergeCell ref="AT2:AU4"/>
    <mergeCell ref="E2:G2"/>
    <mergeCell ref="H2:I2"/>
  </mergeCells>
  <conditionalFormatting sqref="B7:E7 B8:F39 B40:E41 B5:F6">
    <cfRule type="expression" dxfId="34" priority="13">
      <formula>AND($C5=0,NOT($C5=""))</formula>
    </cfRule>
  </conditionalFormatting>
  <conditionalFormatting sqref="B6:F6 B7:E7 BB6:BB41 B39:F39 B40:E41 H39:H41 J39:U39 J40:S41 U40:U41 W40:AU41 AW40:BA41 F41:G41 I41 T41 V41 AV41 B8:BA38 H6:BA7 B5:BA5 W39:BA39">
    <cfRule type="expression" dxfId="33" priority="14">
      <formula>AND($C5=0,NOT($C5=""))</formula>
    </cfRule>
  </conditionalFormatting>
  <conditionalFormatting sqref="G6 BC8:BC37">
    <cfRule type="expression" dxfId="32" priority="18">
      <formula>AND($C7=0,NOT($C7=""))</formula>
    </cfRule>
  </conditionalFormatting>
  <conditionalFormatting sqref="BC38:BC41">
    <cfRule type="expression" dxfId="31" priority="19">
      <formula>AND(#REF!=0,NOT(#REF!=""))</formula>
    </cfRule>
  </conditionalFormatting>
  <conditionalFormatting sqref="W8:X41 BC8:BD41">
    <cfRule type="expression" dxfId="30" priority="10">
      <formula>$BD8=3</formula>
    </cfRule>
    <cfRule type="expression" dxfId="29" priority="11">
      <formula>$BD8=2</formula>
    </cfRule>
  </conditionalFormatting>
  <conditionalFormatting sqref="W8:W41 BC8:BD41">
    <cfRule type="expression" dxfId="28" priority="12">
      <formula>$BD8=1</formula>
    </cfRule>
  </conditionalFormatting>
  <conditionalFormatting sqref="A8:BB38">
    <cfRule type="expression" dxfId="27" priority="9">
      <formula>$R$1=TRUE</formula>
    </cfRule>
  </conditionalFormatting>
  <conditionalFormatting sqref="B1:F4">
    <cfRule type="expression" dxfId="26" priority="7">
      <formula>AND($C1=0,NOT($C1=""))</formula>
    </cfRule>
  </conditionalFormatting>
  <conditionalFormatting sqref="B1:BA4">
    <cfRule type="expression" dxfId="25" priority="8">
      <formula>AND($C1=0,NOT($C1=""))</formula>
    </cfRule>
  </conditionalFormatting>
  <conditionalFormatting sqref="B42:F42">
    <cfRule type="expression" dxfId="24" priority="4">
      <formula>AND($C42=0,NOT($C42=""))</formula>
    </cfRule>
  </conditionalFormatting>
  <conditionalFormatting sqref="BB42">
    <cfRule type="expression" dxfId="23" priority="5">
      <formula>AND($C42=0,NOT($C42=""))</formula>
    </cfRule>
  </conditionalFormatting>
  <conditionalFormatting sqref="BC42">
    <cfRule type="expression" dxfId="22" priority="6">
      <formula>AND(#REF!=0,NOT(#REF!=""))</formula>
    </cfRule>
  </conditionalFormatting>
  <conditionalFormatting sqref="BC42:BD42">
    <cfRule type="expression" dxfId="21" priority="1">
      <formula>$BD42=3</formula>
    </cfRule>
    <cfRule type="expression" dxfId="20" priority="2">
      <formula>$BD42=2</formula>
    </cfRule>
  </conditionalFormatting>
  <conditionalFormatting sqref="BC42:BD42">
    <cfRule type="expression" dxfId="19" priority="3">
      <formula>$BD42=1</formula>
    </cfRule>
  </conditionalFormatting>
  <dataValidations count="2">
    <dataValidation type="list" allowBlank="1" showInputMessage="1" showErrorMessage="1" sqref="G8:G38">
      <formula1>Code_Liste</formula1>
    </dataValidation>
    <dataValidation type="time" allowBlank="1" showInputMessage="1" showErrorMessage="1" sqref="H8:I12 K8:K12">
      <formula1>$R$6</formula1>
      <formula2>$S$6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stopIfTrue="1" id="{9839555A-AACB-485F-892F-F9ED0127BA5E}">
            <xm:f>Voreinstellung_Übersicht!$R$14=3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17" stopIfTrue="1" id="{29A6C2DF-7899-4C3E-B3DC-7CB80E8FD484}">
            <xm:f>Voreinstellung_Übersicht!$R$14=2</xm:f>
            <x14:dxf>
              <fill>
                <patternFill>
                  <bgColor rgb="FFFFC000"/>
                </patternFill>
              </fill>
            </x14:dxf>
          </x14:cfRule>
          <xm:sqref>W7:X41</xm:sqref>
        </x14:conditionalFormatting>
        <x14:conditionalFormatting xmlns:xm="http://schemas.microsoft.com/office/excel/2006/main">
          <x14:cfRule type="expression" priority="15" stopIfTrue="1" id="{79F99C63-07F4-4945-8E1F-8A002F18CF5C}">
            <xm:f>Voreinstellung_Übersicht!$R$14=1</xm:f>
            <x14:dxf>
              <fill>
                <patternFill>
                  <bgColor theme="9" tint="0.59996337778862885"/>
                </patternFill>
              </fill>
            </x14:dxf>
          </x14:cfRule>
          <xm:sqref>W7:W41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B1:CK41"/>
  <sheetViews>
    <sheetView zoomScale="70" zoomScaleNormal="70" workbookViewId="0">
      <selection activeCell="CG41" sqref="CG41"/>
    </sheetView>
  </sheetViews>
  <sheetFormatPr baseColWidth="10" defaultColWidth="11.42578125" defaultRowHeight="21" customHeight="1" x14ac:dyDescent="0.25"/>
  <cols>
    <col min="1" max="1" width="5.85546875" style="48" customWidth="1"/>
    <col min="2" max="2" width="5.5703125" style="48" customWidth="1"/>
    <col min="3" max="3" width="6.42578125" style="63" customWidth="1"/>
    <col min="4" max="4" width="11.28515625" style="64" customWidth="1"/>
    <col min="5" max="5" width="6.28515625" style="48" customWidth="1"/>
    <col min="6" max="6" width="6.42578125" style="63" customWidth="1"/>
    <col min="7" max="7" width="11.42578125" style="48" customWidth="1"/>
    <col min="8" max="8" width="6.28515625" style="65" customWidth="1"/>
    <col min="9" max="9" width="6.42578125" style="63" customWidth="1"/>
    <col min="10" max="10" width="11.42578125" style="48" customWidth="1"/>
    <col min="11" max="11" width="6.28515625" style="48" customWidth="1"/>
    <col min="12" max="12" width="6.42578125" style="63" customWidth="1"/>
    <col min="13" max="13" width="11.42578125" style="48" customWidth="1"/>
    <col min="14" max="14" width="6.28515625" style="48" customWidth="1"/>
    <col min="15" max="15" width="6.42578125" style="63" customWidth="1"/>
    <col min="16" max="16" width="11.42578125" style="48" customWidth="1"/>
    <col min="17" max="17" width="6.28515625" style="48" customWidth="1"/>
    <col min="18" max="18" width="6.42578125" style="63" customWidth="1"/>
    <col min="19" max="19" width="11.42578125" style="48" customWidth="1"/>
    <col min="20" max="20" width="6.28515625" style="48" customWidth="1"/>
    <col min="21" max="21" width="6.42578125" style="63" customWidth="1"/>
    <col min="22" max="22" width="11.42578125" style="48" customWidth="1"/>
    <col min="23" max="23" width="6.28515625" style="48" customWidth="1"/>
    <col min="24" max="24" width="6.42578125" style="63" customWidth="1"/>
    <col min="25" max="25" width="11.42578125" style="48" customWidth="1"/>
    <col min="26" max="26" width="6.28515625" style="48" customWidth="1"/>
    <col min="27" max="27" width="6.42578125" style="63" customWidth="1"/>
    <col min="28" max="28" width="11.42578125" style="48" customWidth="1"/>
    <col min="29" max="29" width="6.28515625" style="48" customWidth="1"/>
    <col min="30" max="30" width="6.42578125" style="63" customWidth="1"/>
    <col min="31" max="31" width="11.42578125" style="48" customWidth="1"/>
    <col min="32" max="32" width="6.28515625" style="48" customWidth="1"/>
    <col min="33" max="33" width="6.42578125" style="63" customWidth="1"/>
    <col min="34" max="34" width="11.42578125" style="48" customWidth="1"/>
    <col min="35" max="35" width="6.28515625" style="48" customWidth="1"/>
    <col min="36" max="36" width="6.42578125" style="63" customWidth="1"/>
    <col min="37" max="37" width="11.42578125" style="48" customWidth="1"/>
    <col min="38" max="38" width="6.28515625" style="48" customWidth="1"/>
    <col min="39" max="39" width="12.28515625" style="48" customWidth="1"/>
    <col min="40" max="40" width="15.7109375" style="48" customWidth="1"/>
    <col min="41" max="41" width="6.42578125" style="48" customWidth="1"/>
    <col min="42" max="44" width="9.5703125" style="175" hidden="1" customWidth="1"/>
    <col min="45" max="45" width="9.5703125" style="48" customWidth="1"/>
    <col min="46" max="46" width="11.42578125" style="175" hidden="1" customWidth="1"/>
    <col min="47" max="48" width="9.5703125" style="175" hidden="1" customWidth="1"/>
    <col min="49" max="49" width="11.42578125" style="48"/>
    <col min="50" max="50" width="11.42578125" style="175" hidden="1" customWidth="1"/>
    <col min="51" max="52" width="9.5703125" style="175" hidden="1" customWidth="1"/>
    <col min="53" max="53" width="11.42578125" style="48"/>
    <col min="54" max="54" width="11.42578125" style="175" hidden="1" customWidth="1"/>
    <col min="55" max="56" width="9.5703125" style="175" hidden="1" customWidth="1"/>
    <col min="57" max="57" width="11.42578125" style="48"/>
    <col min="58" max="58" width="11.42578125" style="175" hidden="1" customWidth="1"/>
    <col min="59" max="60" width="9.5703125" style="175" hidden="1" customWidth="1"/>
    <col min="61" max="61" width="11.42578125" style="48"/>
    <col min="62" max="62" width="11.42578125" style="175" hidden="1" customWidth="1"/>
    <col min="63" max="64" width="9.5703125" style="175" hidden="1" customWidth="1"/>
    <col min="65" max="65" width="11.42578125" style="48"/>
    <col min="66" max="66" width="11.42578125" style="175" hidden="1" customWidth="1"/>
    <col min="67" max="68" width="9.5703125" style="175" hidden="1" customWidth="1"/>
    <col min="69" max="69" width="11.42578125" style="48"/>
    <col min="70" max="70" width="11.42578125" style="175" hidden="1" customWidth="1"/>
    <col min="71" max="72" width="9.5703125" style="175" hidden="1" customWidth="1"/>
    <col min="73" max="73" width="11.42578125" style="48"/>
    <col min="74" max="74" width="11.42578125" style="175" hidden="1" customWidth="1"/>
    <col min="75" max="76" width="9.5703125" style="175" hidden="1" customWidth="1"/>
    <col min="77" max="77" width="11.42578125" style="48"/>
    <col min="78" max="78" width="11.42578125" style="175" hidden="1" customWidth="1"/>
    <col min="79" max="80" width="9.5703125" style="175" hidden="1" customWidth="1"/>
    <col min="81" max="81" width="11.42578125" style="48"/>
    <col min="82" max="82" width="11.42578125" style="175" hidden="1" customWidth="1"/>
    <col min="83" max="84" width="9.5703125" style="175" hidden="1" customWidth="1"/>
    <col min="85" max="85" width="11.42578125" style="48"/>
    <col min="86" max="86" width="11.42578125" style="175" hidden="1" customWidth="1"/>
    <col min="87" max="88" width="9.5703125" style="175" hidden="1" customWidth="1"/>
    <col min="89" max="16384" width="11.42578125" style="48"/>
  </cols>
  <sheetData>
    <row r="1" spans="2:89" ht="21" customHeight="1" x14ac:dyDescent="0.25">
      <c r="B1" s="511" t="str">
        <f>CONCATENATE("Jahresübersicht ",YEAR(Jahr))</f>
        <v>Jahresübersicht 2019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O1" s="500" t="str">
        <f>CONCATENATE("Jahresübersicht der Phasen ",YEAR(Jahr))</f>
        <v>Jahresübersicht der Phasen 2019</v>
      </c>
      <c r="AP1" s="500"/>
      <c r="AQ1" s="500"/>
      <c r="AR1" s="500"/>
      <c r="AS1" s="500"/>
      <c r="AT1" s="500"/>
      <c r="AU1" s="500"/>
      <c r="AV1" s="500"/>
      <c r="AW1" s="500"/>
      <c r="AX1" s="500"/>
      <c r="AY1" s="500"/>
      <c r="AZ1" s="500"/>
      <c r="BA1" s="500"/>
      <c r="BB1" s="500"/>
      <c r="BC1" s="500"/>
      <c r="BD1" s="500"/>
      <c r="BE1" s="500"/>
      <c r="BF1" s="500"/>
      <c r="BG1" s="500"/>
      <c r="BH1" s="500"/>
      <c r="BI1" s="500"/>
      <c r="BJ1" s="500"/>
      <c r="BK1" s="500"/>
      <c r="BL1" s="500"/>
      <c r="BM1" s="500"/>
      <c r="BN1" s="500"/>
      <c r="BO1" s="500"/>
      <c r="BP1" s="500"/>
      <c r="BQ1" s="500"/>
      <c r="BR1" s="500"/>
      <c r="BS1" s="500"/>
      <c r="BT1" s="500"/>
      <c r="BU1" s="500"/>
      <c r="BV1" s="500"/>
      <c r="BW1" s="500"/>
      <c r="BX1" s="500"/>
      <c r="BY1" s="500"/>
      <c r="BZ1" s="500"/>
      <c r="CA1" s="500"/>
      <c r="CB1" s="500"/>
      <c r="CC1" s="500"/>
      <c r="CD1" s="500"/>
      <c r="CE1" s="500"/>
      <c r="CF1" s="500"/>
      <c r="CG1" s="500"/>
      <c r="CH1" s="500"/>
      <c r="CI1" s="500"/>
      <c r="CJ1" s="500"/>
      <c r="CK1" s="500"/>
    </row>
    <row r="2" spans="2:89" ht="21" customHeight="1" thickBot="1" x14ac:dyDescent="0.3"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1"/>
      <c r="BU2" s="501"/>
      <c r="BV2" s="501"/>
      <c r="BW2" s="501"/>
      <c r="BX2" s="501"/>
      <c r="BY2" s="501"/>
      <c r="BZ2" s="501"/>
      <c r="CA2" s="501"/>
      <c r="CB2" s="501"/>
      <c r="CC2" s="501"/>
      <c r="CD2" s="501"/>
      <c r="CE2" s="501"/>
      <c r="CF2" s="501"/>
      <c r="CG2" s="501"/>
      <c r="CH2" s="501"/>
      <c r="CI2" s="501"/>
      <c r="CJ2" s="501"/>
      <c r="CK2" s="501"/>
    </row>
    <row r="3" spans="2:89" ht="21" customHeight="1" x14ac:dyDescent="0.25">
      <c r="B3" s="49" t="s">
        <v>128</v>
      </c>
      <c r="C3" s="502">
        <f>Jahr</f>
        <v>42004</v>
      </c>
      <c r="D3" s="503"/>
      <c r="E3" s="504"/>
      <c r="F3" s="514">
        <f>C3+31</f>
        <v>42035</v>
      </c>
      <c r="G3" s="503"/>
      <c r="H3" s="515"/>
      <c r="I3" s="502">
        <f>DATEVALUE("01."&amp;"03."&amp;YEAR(Jahr))</f>
        <v>42063</v>
      </c>
      <c r="J3" s="503"/>
      <c r="K3" s="504"/>
      <c r="L3" s="514">
        <f>I3+31</f>
        <v>42094</v>
      </c>
      <c r="M3" s="503"/>
      <c r="N3" s="515"/>
      <c r="O3" s="502">
        <f>L3+30</f>
        <v>42124</v>
      </c>
      <c r="P3" s="503"/>
      <c r="Q3" s="504"/>
      <c r="R3" s="514">
        <f>O3+31</f>
        <v>42155</v>
      </c>
      <c r="S3" s="503"/>
      <c r="T3" s="515"/>
      <c r="U3" s="502">
        <f>R3+30</f>
        <v>42185</v>
      </c>
      <c r="V3" s="503"/>
      <c r="W3" s="504"/>
      <c r="X3" s="514">
        <f>U3+31</f>
        <v>42216</v>
      </c>
      <c r="Y3" s="503"/>
      <c r="Z3" s="515"/>
      <c r="AA3" s="502">
        <f>X3+31</f>
        <v>42247</v>
      </c>
      <c r="AB3" s="503"/>
      <c r="AC3" s="504"/>
      <c r="AD3" s="514">
        <f>AA3+30</f>
        <v>42277</v>
      </c>
      <c r="AE3" s="503"/>
      <c r="AF3" s="515"/>
      <c r="AG3" s="502">
        <f>AD3+31</f>
        <v>42308</v>
      </c>
      <c r="AH3" s="503"/>
      <c r="AI3" s="504"/>
      <c r="AJ3" s="502">
        <f>AG3+30</f>
        <v>42338</v>
      </c>
      <c r="AK3" s="503"/>
      <c r="AL3" s="513"/>
      <c r="AO3" s="180" t="s">
        <v>128</v>
      </c>
      <c r="AP3" s="181">
        <f>C3</f>
        <v>42004</v>
      </c>
      <c r="AQ3" s="181"/>
      <c r="AR3" s="181"/>
      <c r="AS3" s="181">
        <f>AP3</f>
        <v>42004</v>
      </c>
      <c r="AT3" s="181">
        <f>F3</f>
        <v>42035</v>
      </c>
      <c r="AU3" s="181"/>
      <c r="AV3" s="181"/>
      <c r="AW3" s="181">
        <f>AT3</f>
        <v>42035</v>
      </c>
      <c r="AX3" s="181">
        <f>I3</f>
        <v>42063</v>
      </c>
      <c r="AY3" s="181"/>
      <c r="AZ3" s="181"/>
      <c r="BA3" s="181">
        <f>AX3</f>
        <v>42063</v>
      </c>
      <c r="BB3" s="181">
        <f>L3</f>
        <v>42094</v>
      </c>
      <c r="BC3" s="181"/>
      <c r="BD3" s="181"/>
      <c r="BE3" s="181">
        <f>BB3</f>
        <v>42094</v>
      </c>
      <c r="BF3" s="181">
        <f>O3</f>
        <v>42124</v>
      </c>
      <c r="BG3" s="181"/>
      <c r="BH3" s="181"/>
      <c r="BI3" s="181">
        <f>BF3</f>
        <v>42124</v>
      </c>
      <c r="BJ3" s="181">
        <f>R3</f>
        <v>42155</v>
      </c>
      <c r="BK3" s="181"/>
      <c r="BL3" s="181"/>
      <c r="BM3" s="181">
        <f>BJ3</f>
        <v>42155</v>
      </c>
      <c r="BN3" s="181">
        <f>U3</f>
        <v>42185</v>
      </c>
      <c r="BO3" s="181"/>
      <c r="BP3" s="181"/>
      <c r="BQ3" s="181">
        <f>BN3</f>
        <v>42185</v>
      </c>
      <c r="BR3" s="181">
        <f>X3</f>
        <v>42216</v>
      </c>
      <c r="BS3" s="181"/>
      <c r="BT3" s="181"/>
      <c r="BU3" s="181">
        <f>BR3</f>
        <v>42216</v>
      </c>
      <c r="BV3" s="181">
        <f>AA3</f>
        <v>42247</v>
      </c>
      <c r="BW3" s="181"/>
      <c r="BX3" s="181"/>
      <c r="BY3" s="181">
        <f>BV3</f>
        <v>42247</v>
      </c>
      <c r="BZ3" s="181">
        <f>AD3</f>
        <v>42277</v>
      </c>
      <c r="CA3" s="181"/>
      <c r="CB3" s="181"/>
      <c r="CC3" s="181">
        <f>BZ3</f>
        <v>42277</v>
      </c>
      <c r="CD3" s="181">
        <f>AG3</f>
        <v>42308</v>
      </c>
      <c r="CE3" s="181"/>
      <c r="CF3" s="181"/>
      <c r="CG3" s="181">
        <f>CD3</f>
        <v>42308</v>
      </c>
      <c r="CH3" s="181">
        <f>AJ3</f>
        <v>42338</v>
      </c>
      <c r="CI3" s="181"/>
      <c r="CJ3" s="181"/>
      <c r="CK3" s="182">
        <f>CH3</f>
        <v>42338</v>
      </c>
    </row>
    <row r="4" spans="2:89" ht="21" customHeight="1" x14ac:dyDescent="0.25">
      <c r="B4" s="50">
        <v>1</v>
      </c>
      <c r="C4" s="51">
        <f>Jan!B8</f>
        <v>42004</v>
      </c>
      <c r="D4" s="52" t="str">
        <f t="shared" ref="D4:D34" si="0">IF(VLOOKUP(C4,AZ_Jan,22,FALSE)&lt;&gt;0,VLOOKUP(C4,AZ_Jan,22,FALSE),"")</f>
        <v/>
      </c>
      <c r="E4" s="53" t="str">
        <f t="shared" ref="E4:E34" si="1">IF(VLOOKUP(C4,AZ_Jan,6,FALSE)&lt;&gt;"",VLOOKUP(C4,AZ_Jan,6,FALSE),"")</f>
        <v/>
      </c>
      <c r="F4" s="54">
        <f>Feb!B8</f>
        <v>42035</v>
      </c>
      <c r="G4" s="52" t="str">
        <f t="shared" ref="G4:G32" ca="1" si="2">IF(VLOOKUP(F4,AZ_Feb,22,FALSE)&lt;&gt;0,VLOOKUP(F4,AZ_Feb,22,FALSE),"")</f>
        <v/>
      </c>
      <c r="H4" s="53" t="str">
        <f t="shared" ref="H4:H32" si="3">IF(VLOOKUP(F4,AZ_Feb,6,FALSE)&lt;&gt;"",VLOOKUP(F4,AZ_Feb,6,FALSE),"")</f>
        <v/>
      </c>
      <c r="I4" s="51">
        <f>Mrz!B8</f>
        <v>42063</v>
      </c>
      <c r="J4" s="52" t="str">
        <f t="shared" ref="J4:J34" ca="1" si="4">IF(VLOOKUP(I4,AZ_Mrz,22,FALSE)&lt;&gt;0,VLOOKUP(I4,AZ_Mrz,22,FALSE),"")</f>
        <v/>
      </c>
      <c r="K4" s="53" t="str">
        <f t="shared" ref="K4:K34" si="5">IF(VLOOKUP(I4,AZ_Mrz,6,FALSE)&lt;&gt;"",VLOOKUP(I4,AZ_Mrz,6,FALSE),"")</f>
        <v/>
      </c>
      <c r="L4" s="54">
        <f>Apr!B8</f>
        <v>42094</v>
      </c>
      <c r="M4" s="52" t="str">
        <f t="shared" ref="M4:M33" ca="1" si="6">IF(VLOOKUP(L4,AZ_Apr,22,FALSE)&lt;&gt;0,VLOOKUP(L4,AZ_Apr,22,FALSE),"")</f>
        <v/>
      </c>
      <c r="N4" s="53" t="str">
        <f t="shared" ref="N4:N33" si="7">IF(VLOOKUP(L4,AZ_Apr,6,FALSE)&lt;&gt;"",VLOOKUP(L4,AZ_Apr,6,FALSE),"")</f>
        <v/>
      </c>
      <c r="O4" s="51">
        <f>Mai!B8</f>
        <v>42124</v>
      </c>
      <c r="P4" s="52" t="str">
        <f t="shared" ref="P4:P34" si="8">IF(VLOOKUP(O4,AZ_Mai,22,FALSE)&lt;&gt;0,VLOOKUP(O4,AZ_Mai,22,FALSE),"")</f>
        <v/>
      </c>
      <c r="Q4" s="53" t="str">
        <f t="shared" ref="Q4:Q34" si="9">IF(VLOOKUP(O4,AZ_Mai,6,FALSE)&lt;&gt;"",VLOOKUP(O4,AZ_Mai,6,FALSE),"")</f>
        <v/>
      </c>
      <c r="R4" s="54">
        <f>Jun!B8</f>
        <v>42155</v>
      </c>
      <c r="S4" s="52" t="str">
        <f t="shared" ref="S4:S33" ca="1" si="10">IF(VLOOKUP(R4,AZ_Jun,22,FALSE)&lt;&gt;0,VLOOKUP(R4,AZ_Jun,22,FALSE),"")</f>
        <v/>
      </c>
      <c r="T4" s="53" t="str">
        <f t="shared" ref="T4:T33" si="11">IF(VLOOKUP(R4,AZ_Jun,6,FALSE)&lt;&gt;"",VLOOKUP(R4,AZ_Jun,6,FALSE),"")</f>
        <v/>
      </c>
      <c r="U4" s="51">
        <f>Jul!B8</f>
        <v>42185</v>
      </c>
      <c r="V4" s="52" t="str">
        <f t="shared" ref="V4:V34" ca="1" si="12">IF(VLOOKUP(U4,AZ_Jul,22,FALSE)&lt;&gt;0,VLOOKUP(U4,AZ_Jul,22,FALSE),"")</f>
        <v/>
      </c>
      <c r="W4" s="53" t="str">
        <f t="shared" ref="W4:W34" si="13">IF(VLOOKUP(U4,AZ_Jul,6,FALSE)&lt;&gt;"",VLOOKUP(U4,AZ_Jul,6,FALSE),"")</f>
        <v/>
      </c>
      <c r="X4" s="54">
        <f>Aug!B8</f>
        <v>42216</v>
      </c>
      <c r="Y4" s="52" t="str">
        <f t="shared" ref="Y4:Y34" ca="1" si="14">IF(VLOOKUP(X4,AZ_Aug,22,FALSE)&lt;&gt;0,VLOOKUP(X4,AZ_Aug,22,FALSE),"")</f>
        <v/>
      </c>
      <c r="Z4" s="53" t="str">
        <f t="shared" ref="Z4:Z34" si="15">IF(VLOOKUP(X4,AZ_Aug,6,FALSE)&lt;&gt;"",VLOOKUP(X4,AZ_Aug,6,FALSE),"")</f>
        <v/>
      </c>
      <c r="AA4" s="51">
        <f>Sep!B8</f>
        <v>42247</v>
      </c>
      <c r="AB4" s="52" t="str">
        <f t="shared" ref="AB4:AB33" ca="1" si="16">IF(VLOOKUP(AA4,AZ_Sep,22,FALSE)&lt;&gt;0,VLOOKUP(AA4,AZ_Sep,22,FALSE),"")</f>
        <v/>
      </c>
      <c r="AC4" s="53" t="str">
        <f t="shared" ref="AC4:AC33" si="17">IF(VLOOKUP(AA4,AZ_Sep,6,FALSE)&lt;&gt;"",VLOOKUP(AA4,AZ_Sep,6,FALSE),"")</f>
        <v/>
      </c>
      <c r="AD4" s="54">
        <f>Okt!B8</f>
        <v>42277</v>
      </c>
      <c r="AE4" s="52" t="str">
        <f t="shared" ref="AE4:AE34" ca="1" si="18">IF(VLOOKUP(AD4,AZ_Okt,22,FALSE)&lt;&gt;0,VLOOKUP(AD4,AZ_Okt,22,FALSE),"")</f>
        <v/>
      </c>
      <c r="AF4" s="53" t="str">
        <f t="shared" ref="AF4:AF34" si="19">IF(VLOOKUP(AD4,AZ_Okt,6,FALSE)&lt;&gt;"",VLOOKUP(AD4,AZ_Okt,6,FALSE),"")</f>
        <v/>
      </c>
      <c r="AG4" s="51">
        <f>Nov!B8</f>
        <v>42308</v>
      </c>
      <c r="AH4" s="52" t="str">
        <f t="shared" ref="AH4:AH33" ca="1" si="20">IF(VLOOKUP(AG4,AZ_Nov,22,FALSE)&lt;&gt;0,VLOOKUP(AG4,AZ_Nov,22,FALSE),"")</f>
        <v/>
      </c>
      <c r="AI4" s="53" t="str">
        <f t="shared" ref="AI4:AI33" si="21">IF(VLOOKUP(AG4,AZ_Nov,6,FALSE)&lt;&gt;"",VLOOKUP(AG4,AZ_Nov,6,FALSE),"")</f>
        <v/>
      </c>
      <c r="AJ4" s="51">
        <f>Dez!B8</f>
        <v>42338</v>
      </c>
      <c r="AK4" s="52" t="str">
        <f t="shared" ref="AK4:AK34" ca="1" si="22">IF(VLOOKUP(AJ4,AZ_Dez,22,FALSE)&lt;&gt;0,VLOOKUP(AJ4,AZ_Dez,22,FALSE),"")</f>
        <v/>
      </c>
      <c r="AL4" s="55" t="str">
        <f t="shared" ref="AL4:AL34" si="23">IF(VLOOKUP(AJ4,AZ_Dez,6,FALSE)&lt;&gt;"",VLOOKUP(AJ4,AZ_Dez,6,FALSE),"")</f>
        <v/>
      </c>
      <c r="AO4" s="179">
        <f>B4</f>
        <v>1</v>
      </c>
      <c r="AP4" s="176">
        <f>C4</f>
        <v>42004</v>
      </c>
      <c r="AQ4" s="177">
        <f t="shared" ref="AQ4:AQ34" ca="1" si="24">IF(AND(TODAY()&gt;=AP4,VLOOKUP(AP4,AZ_Jan,55,FALSE)=2),1,0)</f>
        <v>0</v>
      </c>
      <c r="AR4" s="177">
        <f t="shared" ref="AR4:AR34" ca="1" si="25">IF(AND(TODAY()&gt;=AP4,VLOOKUP(AP4,AZ_Jan,55,FALSE)=3),1,0)</f>
        <v>0</v>
      </c>
      <c r="AS4" s="170">
        <f t="shared" ref="AS4:AS34" si="26">VLOOKUP(C4,AZ_Jan,54,FALSE)</f>
        <v>0</v>
      </c>
      <c r="AT4" s="176">
        <f>F4</f>
        <v>42035</v>
      </c>
      <c r="AU4" s="177">
        <f t="shared" ref="AU4:AU31" ca="1" si="27">IF(AND(TODAY()&gt;=AT4,VLOOKUP(AT4,AZ_Feb,55,FALSE)=2),1,0)</f>
        <v>0</v>
      </c>
      <c r="AV4" s="177">
        <f t="shared" ref="AV4:AV31" ca="1" si="28">IF(AND(TODAY()&gt;=AT4,VLOOKUP(AT4,AZ_Feb,55,FALSE)=3),1,0)</f>
        <v>0</v>
      </c>
      <c r="AW4" s="170">
        <f t="shared" ref="AW4:AW31" ca="1" si="29">VLOOKUP(AT4,AZ_Feb,54,FALSE)</f>
        <v>0</v>
      </c>
      <c r="AX4" s="176">
        <f>I4</f>
        <v>42063</v>
      </c>
      <c r="AY4" s="177">
        <f t="shared" ref="AY4:AY34" ca="1" si="30">IF(AND(TODAY()&gt;=AX4,VLOOKUP(AX4,AZ_Mrz,55,FALSE)=2),1,0)</f>
        <v>0</v>
      </c>
      <c r="AZ4" s="177">
        <f t="shared" ref="AZ4:AZ34" ca="1" si="31">IF(AND(TODAY()&gt;=AX4,VLOOKUP(AX4,AZ_Mrz,55,FALSE)=3),1,0)</f>
        <v>0</v>
      </c>
      <c r="BA4" s="170">
        <f t="shared" ref="BA4:BA34" ca="1" si="32">VLOOKUP(AX4,AZ_Mrz,54,FALSE)</f>
        <v>0</v>
      </c>
      <c r="BB4" s="176">
        <f>L4</f>
        <v>42094</v>
      </c>
      <c r="BC4" s="177">
        <f t="shared" ref="BC4:BC33" ca="1" si="33">IF(AND(TODAY()&gt;=BB4,VLOOKUP(BB4,AZ_Apr,55,FALSE)=2),1,0)</f>
        <v>0</v>
      </c>
      <c r="BD4" s="177">
        <f t="shared" ref="BD4:BD33" ca="1" si="34">IF(AND(TODAY()&gt;=BB4,VLOOKUP(BB4,AZ_Apr,55,FALSE)=3),1,0)</f>
        <v>0</v>
      </c>
      <c r="BE4" s="170">
        <f t="shared" ref="BE4:BE33" ca="1" si="35">VLOOKUP(BB4,AZ_Apr,54,FALSE)</f>
        <v>0</v>
      </c>
      <c r="BF4" s="176">
        <f>O4</f>
        <v>42124</v>
      </c>
      <c r="BG4" s="177">
        <f t="shared" ref="BG4:BG34" ca="1" si="36">IF(AND(TODAY()&gt;=BF4,VLOOKUP(BF4,AZ_Mai,55,FALSE)=2),1,0)</f>
        <v>0</v>
      </c>
      <c r="BH4" s="177">
        <f t="shared" ref="BH4:BH34" ca="1" si="37">IF(AND(TODAY()&gt;=BF4,VLOOKUP(BF4,AZ_Mai,55,FALSE)=3),1,0)</f>
        <v>0</v>
      </c>
      <c r="BI4" s="170">
        <f t="shared" ref="BI4:BI34" ca="1" si="38">VLOOKUP(BF4,AZ_Mai,54,FALSE)</f>
        <v>0</v>
      </c>
      <c r="BJ4" s="176">
        <f>R4</f>
        <v>42155</v>
      </c>
      <c r="BK4" s="177">
        <f t="shared" ref="BK4:BK33" ca="1" si="39">IF(AND(TODAY()&gt;=BJ4,VLOOKUP(BJ4,AZ_Jun,55,FALSE)=2),1,0)</f>
        <v>0</v>
      </c>
      <c r="BL4" s="177">
        <f t="shared" ref="BL4:BL33" ca="1" si="40">IF(AND(TODAY()&gt;=BJ4,VLOOKUP(BJ4,AZ_Jun,55,FALSE)=3),1,0)</f>
        <v>0</v>
      </c>
      <c r="BM4" s="170">
        <f t="shared" ref="BM4:BM33" ca="1" si="41">VLOOKUP(BJ4,AZ_Jun,54,FALSE)</f>
        <v>0</v>
      </c>
      <c r="BN4" s="176">
        <f>U4</f>
        <v>42185</v>
      </c>
      <c r="BO4" s="177">
        <f t="shared" ref="BO4:BO34" ca="1" si="42">IF(AND(TODAY()&gt;=BN4,VLOOKUP(BN4,AZ_Jul,55,FALSE)=2),1,0)</f>
        <v>0</v>
      </c>
      <c r="BP4" s="177">
        <f t="shared" ref="BP4:BP34" ca="1" si="43">IF(AND(TODAY()&gt;=BN4,VLOOKUP(BN4,AZ_Jul,55,FALSE)=3),1,0)</f>
        <v>0</v>
      </c>
      <c r="BQ4" s="170">
        <f t="shared" ref="BQ4:BQ34" ca="1" si="44">VLOOKUP(BN4,AZ_Jul,54,FALSE)</f>
        <v>0</v>
      </c>
      <c r="BR4" s="176">
        <f>X4</f>
        <v>42216</v>
      </c>
      <c r="BS4" s="177">
        <f t="shared" ref="BS4:BS34" ca="1" si="45">IF(AND(TODAY()&gt;=BR4,VLOOKUP(BR4,AZ_Aug,55,FALSE)=2),1,0)</f>
        <v>0</v>
      </c>
      <c r="BT4" s="177">
        <f t="shared" ref="BT4:BT34" ca="1" si="46">IF(AND(TODAY()&gt;=BR4,VLOOKUP(BR4,AZ_Aug,55,FALSE)=3),1,0)</f>
        <v>0</v>
      </c>
      <c r="BU4" s="170">
        <f t="shared" ref="BU4:BU34" ca="1" si="47">VLOOKUP(BR4,AZ_Aug,54,FALSE)</f>
        <v>0</v>
      </c>
      <c r="BV4" s="176">
        <f>AA4</f>
        <v>42247</v>
      </c>
      <c r="BW4" s="177">
        <f t="shared" ref="BW4:BW33" ca="1" si="48">IF(AND(TODAY()&gt;=BV4,VLOOKUP(BV4,AZ_Sep,55,FALSE)=2),1,0)</f>
        <v>0</v>
      </c>
      <c r="BX4" s="177">
        <f t="shared" ref="BX4:BX33" ca="1" si="49">IF(AND(TODAY()&gt;=BV4,VLOOKUP(BV4,AZ_Sep,55,FALSE)=3),1,0)</f>
        <v>0</v>
      </c>
      <c r="BY4" s="170">
        <f t="shared" ref="BY4:BY33" ca="1" si="50">VLOOKUP(BV4,AZ_Sep,54,FALSE)</f>
        <v>0</v>
      </c>
      <c r="BZ4" s="176">
        <f>AD4</f>
        <v>42277</v>
      </c>
      <c r="CA4" s="177">
        <f t="shared" ref="CA4:CA34" ca="1" si="51">IF(AND(TODAY()&gt;=BZ4,VLOOKUP(BZ4,AZ_Okt,55,FALSE)=2),1,0)</f>
        <v>0</v>
      </c>
      <c r="CB4" s="177">
        <f t="shared" ref="CB4:CB34" ca="1" si="52">IF(AND(TODAY()&gt;=BZ4,VLOOKUP(BZ4,AZ_Okt,55,FALSE)=3),1,0)</f>
        <v>0</v>
      </c>
      <c r="CC4" s="170">
        <f t="shared" ref="CC4:CC34" ca="1" si="53">VLOOKUP(BZ4,AZ_Okt,54,FALSE)</f>
        <v>0</v>
      </c>
      <c r="CD4" s="176">
        <f>AG4</f>
        <v>42308</v>
      </c>
      <c r="CE4" s="177">
        <f t="shared" ref="CE4:CE33" ca="1" si="54">IF(AND(TODAY()&gt;=CD4,VLOOKUP(CD4,AZ_Nov,55,FALSE)=2),1,0)</f>
        <v>0</v>
      </c>
      <c r="CF4" s="177">
        <f t="shared" ref="CF4:CF33" ca="1" si="55">IF(AND(TODAY()&gt;=CD4,VLOOKUP(CD4,AZ_Nov,55,FALSE)=3),1,0)</f>
        <v>0</v>
      </c>
      <c r="CG4" s="170">
        <f t="shared" ref="CG4:CG33" ca="1" si="56">VLOOKUP(CD4,AZ_Nov,54,FALSE)</f>
        <v>0</v>
      </c>
      <c r="CH4" s="176">
        <f>AJ4</f>
        <v>42338</v>
      </c>
      <c r="CI4" s="177">
        <f t="shared" ref="CI4:CI34" ca="1" si="57">IF(AND(TODAY()&gt;=CH4,VLOOKUP(CH4,AZ_Dez,55,FALSE)=2),1,0)</f>
        <v>0</v>
      </c>
      <c r="CJ4" s="177">
        <f t="shared" ref="CJ4:CJ34" ca="1" si="58">IF(AND(TODAY()&gt;=CH4,VLOOKUP(CH4,AZ_Dez,55,FALSE)=3),1,0)</f>
        <v>0</v>
      </c>
      <c r="CK4" s="171">
        <f t="shared" ref="CK4:CK34" ca="1" si="59">VLOOKUP(CH4,AZ_Dez,54,FALSE)</f>
        <v>0</v>
      </c>
    </row>
    <row r="5" spans="2:89" ht="21" customHeight="1" x14ac:dyDescent="0.25">
      <c r="B5" s="50">
        <v>2</v>
      </c>
      <c r="C5" s="51">
        <f>Jan!B9</f>
        <v>42005</v>
      </c>
      <c r="D5" s="52" t="str">
        <f t="shared" ca="1" si="0"/>
        <v/>
      </c>
      <c r="E5" s="53" t="str">
        <f t="shared" si="1"/>
        <v/>
      </c>
      <c r="F5" s="54">
        <f>Feb!B9</f>
        <v>42036</v>
      </c>
      <c r="G5" s="52" t="str">
        <f t="shared" ca="1" si="2"/>
        <v/>
      </c>
      <c r="H5" s="53" t="str">
        <f t="shared" si="3"/>
        <v/>
      </c>
      <c r="I5" s="51">
        <f>Mrz!B9</f>
        <v>42064</v>
      </c>
      <c r="J5" s="52" t="str">
        <f t="shared" ca="1" si="4"/>
        <v/>
      </c>
      <c r="K5" s="53" t="str">
        <f t="shared" si="5"/>
        <v/>
      </c>
      <c r="L5" s="54">
        <f>Apr!B9</f>
        <v>42095</v>
      </c>
      <c r="M5" s="52" t="str">
        <f t="shared" ca="1" si="6"/>
        <v/>
      </c>
      <c r="N5" s="53" t="str">
        <f t="shared" si="7"/>
        <v/>
      </c>
      <c r="O5" s="51">
        <f>Mai!B9</f>
        <v>42125</v>
      </c>
      <c r="P5" s="52" t="str">
        <f t="shared" ca="1" si="8"/>
        <v/>
      </c>
      <c r="Q5" s="53" t="str">
        <f t="shared" si="9"/>
        <v/>
      </c>
      <c r="R5" s="54">
        <f>Jun!B9</f>
        <v>42156</v>
      </c>
      <c r="S5" s="52" t="str">
        <f t="shared" ca="1" si="10"/>
        <v/>
      </c>
      <c r="T5" s="53" t="str">
        <f t="shared" si="11"/>
        <v/>
      </c>
      <c r="U5" s="51">
        <f>Jul!B9</f>
        <v>42186</v>
      </c>
      <c r="V5" s="52" t="str">
        <f t="shared" ca="1" si="12"/>
        <v/>
      </c>
      <c r="W5" s="53" t="str">
        <f t="shared" si="13"/>
        <v/>
      </c>
      <c r="X5" s="54">
        <f>Aug!B9</f>
        <v>42217</v>
      </c>
      <c r="Y5" s="52" t="str">
        <f t="shared" ca="1" si="14"/>
        <v/>
      </c>
      <c r="Z5" s="53" t="str">
        <f t="shared" si="15"/>
        <v/>
      </c>
      <c r="AA5" s="51">
        <f>Sep!B9</f>
        <v>42248</v>
      </c>
      <c r="AB5" s="52" t="str">
        <f t="shared" ca="1" si="16"/>
        <v/>
      </c>
      <c r="AC5" s="53" t="str">
        <f t="shared" si="17"/>
        <v/>
      </c>
      <c r="AD5" s="54">
        <f>Okt!B9</f>
        <v>42278</v>
      </c>
      <c r="AE5" s="52" t="str">
        <f t="shared" ca="1" si="18"/>
        <v/>
      </c>
      <c r="AF5" s="53" t="str">
        <f t="shared" si="19"/>
        <v/>
      </c>
      <c r="AG5" s="51">
        <f>Nov!B9</f>
        <v>42309</v>
      </c>
      <c r="AH5" s="52" t="str">
        <f t="shared" ca="1" si="20"/>
        <v/>
      </c>
      <c r="AI5" s="53" t="str">
        <f t="shared" si="21"/>
        <v/>
      </c>
      <c r="AJ5" s="51">
        <f>Dez!B9</f>
        <v>42339</v>
      </c>
      <c r="AK5" s="52" t="str">
        <f t="shared" ca="1" si="22"/>
        <v/>
      </c>
      <c r="AL5" s="55" t="str">
        <f t="shared" si="23"/>
        <v/>
      </c>
      <c r="AO5" s="179">
        <f t="shared" ref="AO5:AO34" si="60">B5</f>
        <v>2</v>
      </c>
      <c r="AP5" s="176">
        <f t="shared" ref="AP5:AP34" si="61">C5</f>
        <v>42005</v>
      </c>
      <c r="AQ5" s="177">
        <f t="shared" ca="1" si="24"/>
        <v>0</v>
      </c>
      <c r="AR5" s="177">
        <f t="shared" ca="1" si="25"/>
        <v>0</v>
      </c>
      <c r="AS5" s="170">
        <f t="shared" ca="1" si="26"/>
        <v>0</v>
      </c>
      <c r="AT5" s="176">
        <f t="shared" ref="AT5:AT32" si="62">F5</f>
        <v>42036</v>
      </c>
      <c r="AU5" s="177">
        <f t="shared" ca="1" si="27"/>
        <v>0</v>
      </c>
      <c r="AV5" s="177">
        <f t="shared" ca="1" si="28"/>
        <v>0</v>
      </c>
      <c r="AW5" s="170">
        <f t="shared" ca="1" si="29"/>
        <v>0</v>
      </c>
      <c r="AX5" s="176">
        <f t="shared" ref="AX5:AX34" si="63">I5</f>
        <v>42064</v>
      </c>
      <c r="AY5" s="177">
        <f t="shared" ca="1" si="30"/>
        <v>0</v>
      </c>
      <c r="AZ5" s="177">
        <f t="shared" ca="1" si="31"/>
        <v>0</v>
      </c>
      <c r="BA5" s="170">
        <f t="shared" ca="1" si="32"/>
        <v>0</v>
      </c>
      <c r="BB5" s="176">
        <f t="shared" ref="BB5:BB33" si="64">L5</f>
        <v>42095</v>
      </c>
      <c r="BC5" s="177">
        <f t="shared" ca="1" si="33"/>
        <v>0</v>
      </c>
      <c r="BD5" s="177">
        <f t="shared" ca="1" si="34"/>
        <v>0</v>
      </c>
      <c r="BE5" s="170">
        <f t="shared" ca="1" si="35"/>
        <v>0</v>
      </c>
      <c r="BF5" s="176">
        <f t="shared" ref="BF5:BF34" si="65">O5</f>
        <v>42125</v>
      </c>
      <c r="BG5" s="177">
        <f t="shared" ca="1" si="36"/>
        <v>0</v>
      </c>
      <c r="BH5" s="177">
        <f t="shared" ca="1" si="37"/>
        <v>0</v>
      </c>
      <c r="BI5" s="170">
        <f t="shared" ca="1" si="38"/>
        <v>0</v>
      </c>
      <c r="BJ5" s="176">
        <f t="shared" ref="BJ5:BJ33" si="66">R5</f>
        <v>42156</v>
      </c>
      <c r="BK5" s="177">
        <f t="shared" ca="1" si="39"/>
        <v>0</v>
      </c>
      <c r="BL5" s="177">
        <f t="shared" ca="1" si="40"/>
        <v>0</v>
      </c>
      <c r="BM5" s="170">
        <f t="shared" ca="1" si="41"/>
        <v>0</v>
      </c>
      <c r="BN5" s="176">
        <f t="shared" ref="BN5:BN34" si="67">U5</f>
        <v>42186</v>
      </c>
      <c r="BO5" s="177">
        <f t="shared" ca="1" si="42"/>
        <v>0</v>
      </c>
      <c r="BP5" s="177">
        <f t="shared" ca="1" si="43"/>
        <v>0</v>
      </c>
      <c r="BQ5" s="170">
        <f t="shared" ca="1" si="44"/>
        <v>0</v>
      </c>
      <c r="BR5" s="176">
        <f t="shared" ref="BR5:BR34" si="68">X5</f>
        <v>42217</v>
      </c>
      <c r="BS5" s="177">
        <f t="shared" ca="1" si="45"/>
        <v>0</v>
      </c>
      <c r="BT5" s="177">
        <f t="shared" ca="1" si="46"/>
        <v>0</v>
      </c>
      <c r="BU5" s="170">
        <f t="shared" ca="1" si="47"/>
        <v>0</v>
      </c>
      <c r="BV5" s="176">
        <f t="shared" ref="BV5:BV33" si="69">AA5</f>
        <v>42248</v>
      </c>
      <c r="BW5" s="177">
        <f t="shared" ca="1" si="48"/>
        <v>0</v>
      </c>
      <c r="BX5" s="177">
        <f t="shared" ca="1" si="49"/>
        <v>0</v>
      </c>
      <c r="BY5" s="170">
        <f t="shared" ca="1" si="50"/>
        <v>0</v>
      </c>
      <c r="BZ5" s="176">
        <f t="shared" ref="BZ5:BZ34" si="70">AD5</f>
        <v>42278</v>
      </c>
      <c r="CA5" s="177">
        <f t="shared" ca="1" si="51"/>
        <v>0</v>
      </c>
      <c r="CB5" s="177">
        <f t="shared" ca="1" si="52"/>
        <v>0</v>
      </c>
      <c r="CC5" s="170">
        <f t="shared" ca="1" si="53"/>
        <v>0</v>
      </c>
      <c r="CD5" s="176">
        <f t="shared" ref="CD5:CD33" si="71">AG5</f>
        <v>42309</v>
      </c>
      <c r="CE5" s="177">
        <f t="shared" ca="1" si="54"/>
        <v>0</v>
      </c>
      <c r="CF5" s="177">
        <f t="shared" ca="1" si="55"/>
        <v>0</v>
      </c>
      <c r="CG5" s="170">
        <f t="shared" ca="1" si="56"/>
        <v>0</v>
      </c>
      <c r="CH5" s="176">
        <f t="shared" ref="CH5:CH34" si="72">AJ5</f>
        <v>42339</v>
      </c>
      <c r="CI5" s="177">
        <f t="shared" ca="1" si="57"/>
        <v>0</v>
      </c>
      <c r="CJ5" s="177">
        <f t="shared" ca="1" si="58"/>
        <v>0</v>
      </c>
      <c r="CK5" s="171">
        <f t="shared" ca="1" si="59"/>
        <v>0</v>
      </c>
    </row>
    <row r="6" spans="2:89" ht="21" customHeight="1" x14ac:dyDescent="0.25">
      <c r="B6" s="50">
        <v>3</v>
      </c>
      <c r="C6" s="51">
        <f>Jan!B10</f>
        <v>42006</v>
      </c>
      <c r="D6" s="52" t="str">
        <f t="shared" ca="1" si="0"/>
        <v/>
      </c>
      <c r="E6" s="53" t="str">
        <f t="shared" si="1"/>
        <v/>
      </c>
      <c r="F6" s="54">
        <f>Feb!B10</f>
        <v>42037</v>
      </c>
      <c r="G6" s="52" t="str">
        <f t="shared" ca="1" si="2"/>
        <v/>
      </c>
      <c r="H6" s="53" t="str">
        <f t="shared" si="3"/>
        <v/>
      </c>
      <c r="I6" s="51">
        <f>Mrz!B10</f>
        <v>42065</v>
      </c>
      <c r="J6" s="52" t="str">
        <f t="shared" ca="1" si="4"/>
        <v/>
      </c>
      <c r="K6" s="53" t="str">
        <f t="shared" si="5"/>
        <v/>
      </c>
      <c r="L6" s="54">
        <f>Apr!B10</f>
        <v>42096</v>
      </c>
      <c r="M6" s="52" t="str">
        <f t="shared" ca="1" si="6"/>
        <v/>
      </c>
      <c r="N6" s="53" t="str">
        <f t="shared" si="7"/>
        <v/>
      </c>
      <c r="O6" s="51">
        <f>Mai!B10</f>
        <v>42126</v>
      </c>
      <c r="P6" s="52" t="str">
        <f t="shared" ca="1" si="8"/>
        <v/>
      </c>
      <c r="Q6" s="53" t="str">
        <f t="shared" si="9"/>
        <v/>
      </c>
      <c r="R6" s="54">
        <f>Jun!B10</f>
        <v>42157</v>
      </c>
      <c r="S6" s="52" t="str">
        <f t="shared" ca="1" si="10"/>
        <v/>
      </c>
      <c r="T6" s="53" t="str">
        <f t="shared" si="11"/>
        <v/>
      </c>
      <c r="U6" s="51">
        <f>Jul!B10</f>
        <v>42187</v>
      </c>
      <c r="V6" s="52" t="str">
        <f t="shared" ca="1" si="12"/>
        <v/>
      </c>
      <c r="W6" s="53" t="str">
        <f t="shared" si="13"/>
        <v/>
      </c>
      <c r="X6" s="54">
        <f>Aug!B10</f>
        <v>42218</v>
      </c>
      <c r="Y6" s="52" t="str">
        <f t="shared" ca="1" si="14"/>
        <v/>
      </c>
      <c r="Z6" s="53" t="str">
        <f t="shared" si="15"/>
        <v/>
      </c>
      <c r="AA6" s="51">
        <f>Sep!B10</f>
        <v>42249</v>
      </c>
      <c r="AB6" s="52" t="str">
        <f t="shared" ca="1" si="16"/>
        <v/>
      </c>
      <c r="AC6" s="53" t="str">
        <f t="shared" si="17"/>
        <v/>
      </c>
      <c r="AD6" s="54">
        <f>Okt!B10</f>
        <v>42279</v>
      </c>
      <c r="AE6" s="52" t="str">
        <f t="shared" si="18"/>
        <v/>
      </c>
      <c r="AF6" s="53" t="str">
        <f t="shared" si="19"/>
        <v/>
      </c>
      <c r="AG6" s="51">
        <f>Nov!B10</f>
        <v>42310</v>
      </c>
      <c r="AH6" s="52" t="str">
        <f t="shared" ca="1" si="20"/>
        <v/>
      </c>
      <c r="AI6" s="53" t="str">
        <f t="shared" si="21"/>
        <v/>
      </c>
      <c r="AJ6" s="51">
        <f>Dez!B10</f>
        <v>42340</v>
      </c>
      <c r="AK6" s="52" t="str">
        <f t="shared" ca="1" si="22"/>
        <v/>
      </c>
      <c r="AL6" s="55" t="str">
        <f t="shared" si="23"/>
        <v/>
      </c>
      <c r="AO6" s="179">
        <f t="shared" si="60"/>
        <v>3</v>
      </c>
      <c r="AP6" s="176">
        <f t="shared" si="61"/>
        <v>42006</v>
      </c>
      <c r="AQ6" s="177">
        <f t="shared" ca="1" si="24"/>
        <v>0</v>
      </c>
      <c r="AR6" s="177">
        <f t="shared" ca="1" si="25"/>
        <v>0</v>
      </c>
      <c r="AS6" s="170">
        <f t="shared" ca="1" si="26"/>
        <v>0</v>
      </c>
      <c r="AT6" s="176">
        <f t="shared" si="62"/>
        <v>42037</v>
      </c>
      <c r="AU6" s="177">
        <f t="shared" ca="1" si="27"/>
        <v>0</v>
      </c>
      <c r="AV6" s="177">
        <f t="shared" ca="1" si="28"/>
        <v>0</v>
      </c>
      <c r="AW6" s="170">
        <f t="shared" ca="1" si="29"/>
        <v>0</v>
      </c>
      <c r="AX6" s="176">
        <f t="shared" si="63"/>
        <v>42065</v>
      </c>
      <c r="AY6" s="177">
        <f t="shared" ca="1" si="30"/>
        <v>0</v>
      </c>
      <c r="AZ6" s="177">
        <f t="shared" ca="1" si="31"/>
        <v>0</v>
      </c>
      <c r="BA6" s="170">
        <f t="shared" ca="1" si="32"/>
        <v>0</v>
      </c>
      <c r="BB6" s="176">
        <f t="shared" si="64"/>
        <v>42096</v>
      </c>
      <c r="BC6" s="177">
        <f t="shared" ca="1" si="33"/>
        <v>0</v>
      </c>
      <c r="BD6" s="177">
        <f t="shared" ca="1" si="34"/>
        <v>0</v>
      </c>
      <c r="BE6" s="170">
        <f t="shared" ca="1" si="35"/>
        <v>0</v>
      </c>
      <c r="BF6" s="176">
        <f t="shared" si="65"/>
        <v>42126</v>
      </c>
      <c r="BG6" s="177">
        <f t="shared" ca="1" si="36"/>
        <v>0</v>
      </c>
      <c r="BH6" s="177">
        <f t="shared" ca="1" si="37"/>
        <v>0</v>
      </c>
      <c r="BI6" s="170">
        <f t="shared" ca="1" si="38"/>
        <v>0</v>
      </c>
      <c r="BJ6" s="176">
        <f t="shared" si="66"/>
        <v>42157</v>
      </c>
      <c r="BK6" s="177">
        <f t="shared" ca="1" si="39"/>
        <v>0</v>
      </c>
      <c r="BL6" s="177">
        <f t="shared" ca="1" si="40"/>
        <v>0</v>
      </c>
      <c r="BM6" s="170">
        <f t="shared" ca="1" si="41"/>
        <v>0</v>
      </c>
      <c r="BN6" s="176">
        <f t="shared" si="67"/>
        <v>42187</v>
      </c>
      <c r="BO6" s="177">
        <f t="shared" ca="1" si="42"/>
        <v>0</v>
      </c>
      <c r="BP6" s="177">
        <f t="shared" ca="1" si="43"/>
        <v>0</v>
      </c>
      <c r="BQ6" s="170">
        <f t="shared" ca="1" si="44"/>
        <v>0</v>
      </c>
      <c r="BR6" s="176">
        <f t="shared" si="68"/>
        <v>42218</v>
      </c>
      <c r="BS6" s="177">
        <f t="shared" ca="1" si="45"/>
        <v>0</v>
      </c>
      <c r="BT6" s="177">
        <f t="shared" ca="1" si="46"/>
        <v>0</v>
      </c>
      <c r="BU6" s="170">
        <f t="shared" ca="1" si="47"/>
        <v>0</v>
      </c>
      <c r="BV6" s="176">
        <f t="shared" si="69"/>
        <v>42249</v>
      </c>
      <c r="BW6" s="177">
        <f t="shared" ca="1" si="48"/>
        <v>0</v>
      </c>
      <c r="BX6" s="177">
        <f t="shared" ca="1" si="49"/>
        <v>0</v>
      </c>
      <c r="BY6" s="170">
        <f t="shared" ca="1" si="50"/>
        <v>0</v>
      </c>
      <c r="BZ6" s="176">
        <f t="shared" si="70"/>
        <v>42279</v>
      </c>
      <c r="CA6" s="177">
        <f t="shared" ca="1" si="51"/>
        <v>0</v>
      </c>
      <c r="CB6" s="177">
        <f t="shared" ca="1" si="52"/>
        <v>0</v>
      </c>
      <c r="CC6" s="170">
        <f t="shared" ca="1" si="53"/>
        <v>0</v>
      </c>
      <c r="CD6" s="176">
        <f t="shared" si="71"/>
        <v>42310</v>
      </c>
      <c r="CE6" s="177">
        <f t="shared" ca="1" si="54"/>
        <v>0</v>
      </c>
      <c r="CF6" s="177">
        <f t="shared" ca="1" si="55"/>
        <v>0</v>
      </c>
      <c r="CG6" s="170">
        <f t="shared" ca="1" si="56"/>
        <v>0</v>
      </c>
      <c r="CH6" s="176">
        <f t="shared" si="72"/>
        <v>42340</v>
      </c>
      <c r="CI6" s="177">
        <f t="shared" ca="1" si="57"/>
        <v>0</v>
      </c>
      <c r="CJ6" s="177">
        <f t="shared" ca="1" si="58"/>
        <v>0</v>
      </c>
      <c r="CK6" s="171">
        <f t="shared" ca="1" si="59"/>
        <v>0</v>
      </c>
    </row>
    <row r="7" spans="2:89" ht="21" customHeight="1" x14ac:dyDescent="0.25">
      <c r="B7" s="50">
        <v>4</v>
      </c>
      <c r="C7" s="51">
        <f>Jan!B11</f>
        <v>42007</v>
      </c>
      <c r="D7" s="52" t="str">
        <f t="shared" ca="1" si="0"/>
        <v/>
      </c>
      <c r="E7" s="53" t="str">
        <f t="shared" si="1"/>
        <v/>
      </c>
      <c r="F7" s="54">
        <f t="shared" ref="F7:F31" si="73">F6+1</f>
        <v>42038</v>
      </c>
      <c r="G7" s="52" t="str">
        <f t="shared" ca="1" si="2"/>
        <v/>
      </c>
      <c r="H7" s="53" t="str">
        <f t="shared" si="3"/>
        <v/>
      </c>
      <c r="I7" s="51">
        <f>Mrz!B11</f>
        <v>42066</v>
      </c>
      <c r="J7" s="52" t="str">
        <f t="shared" ca="1" si="4"/>
        <v/>
      </c>
      <c r="K7" s="53" t="str">
        <f t="shared" si="5"/>
        <v/>
      </c>
      <c r="L7" s="54">
        <f>Apr!B11</f>
        <v>42097</v>
      </c>
      <c r="M7" s="52" t="str">
        <f t="shared" ca="1" si="6"/>
        <v/>
      </c>
      <c r="N7" s="53" t="str">
        <f t="shared" si="7"/>
        <v/>
      </c>
      <c r="O7" s="51">
        <f>Mai!B11</f>
        <v>42127</v>
      </c>
      <c r="P7" s="52" t="str">
        <f t="shared" ca="1" si="8"/>
        <v/>
      </c>
      <c r="Q7" s="53" t="str">
        <f t="shared" si="9"/>
        <v/>
      </c>
      <c r="R7" s="54">
        <f>Jun!B11</f>
        <v>42158</v>
      </c>
      <c r="S7" s="52" t="str">
        <f t="shared" ca="1" si="10"/>
        <v/>
      </c>
      <c r="T7" s="53" t="str">
        <f t="shared" si="11"/>
        <v/>
      </c>
      <c r="U7" s="51">
        <f>Jul!B11</f>
        <v>42188</v>
      </c>
      <c r="V7" s="52" t="str">
        <f t="shared" ca="1" si="12"/>
        <v/>
      </c>
      <c r="W7" s="53" t="str">
        <f t="shared" si="13"/>
        <v/>
      </c>
      <c r="X7" s="54">
        <f>Aug!B11</f>
        <v>42219</v>
      </c>
      <c r="Y7" s="52" t="str">
        <f t="shared" ca="1" si="14"/>
        <v/>
      </c>
      <c r="Z7" s="53" t="str">
        <f t="shared" si="15"/>
        <v/>
      </c>
      <c r="AA7" s="51">
        <f>Sep!B11</f>
        <v>42250</v>
      </c>
      <c r="AB7" s="52" t="str">
        <f t="shared" ca="1" si="16"/>
        <v/>
      </c>
      <c r="AC7" s="53" t="str">
        <f t="shared" si="17"/>
        <v/>
      </c>
      <c r="AD7" s="54">
        <f>Okt!B11</f>
        <v>42280</v>
      </c>
      <c r="AE7" s="52" t="str">
        <f t="shared" ca="1" si="18"/>
        <v/>
      </c>
      <c r="AF7" s="53" t="str">
        <f t="shared" si="19"/>
        <v/>
      </c>
      <c r="AG7" s="51">
        <f>Nov!B11</f>
        <v>42311</v>
      </c>
      <c r="AH7" s="52" t="str">
        <f t="shared" ca="1" si="20"/>
        <v/>
      </c>
      <c r="AI7" s="53" t="str">
        <f t="shared" si="21"/>
        <v/>
      </c>
      <c r="AJ7" s="51">
        <f>Dez!B11</f>
        <v>42341</v>
      </c>
      <c r="AK7" s="52" t="str">
        <f t="shared" ca="1" si="22"/>
        <v/>
      </c>
      <c r="AL7" s="55" t="str">
        <f t="shared" si="23"/>
        <v/>
      </c>
      <c r="AO7" s="179">
        <f t="shared" si="60"/>
        <v>4</v>
      </c>
      <c r="AP7" s="176">
        <f t="shared" si="61"/>
        <v>42007</v>
      </c>
      <c r="AQ7" s="177">
        <f t="shared" ca="1" si="24"/>
        <v>0</v>
      </c>
      <c r="AR7" s="177">
        <f t="shared" ca="1" si="25"/>
        <v>0</v>
      </c>
      <c r="AS7" s="170">
        <f t="shared" ca="1" si="26"/>
        <v>0</v>
      </c>
      <c r="AT7" s="176">
        <f t="shared" si="62"/>
        <v>42038</v>
      </c>
      <c r="AU7" s="177">
        <f t="shared" ca="1" si="27"/>
        <v>0</v>
      </c>
      <c r="AV7" s="177">
        <f t="shared" ca="1" si="28"/>
        <v>0</v>
      </c>
      <c r="AW7" s="170">
        <f t="shared" ca="1" si="29"/>
        <v>0</v>
      </c>
      <c r="AX7" s="176">
        <f t="shared" si="63"/>
        <v>42066</v>
      </c>
      <c r="AY7" s="177">
        <f t="shared" ca="1" si="30"/>
        <v>0</v>
      </c>
      <c r="AZ7" s="177">
        <f t="shared" ca="1" si="31"/>
        <v>0</v>
      </c>
      <c r="BA7" s="170">
        <f t="shared" ca="1" si="32"/>
        <v>0</v>
      </c>
      <c r="BB7" s="176">
        <f t="shared" si="64"/>
        <v>42097</v>
      </c>
      <c r="BC7" s="177">
        <f t="shared" ca="1" si="33"/>
        <v>0</v>
      </c>
      <c r="BD7" s="177">
        <f t="shared" ca="1" si="34"/>
        <v>0</v>
      </c>
      <c r="BE7" s="170">
        <f t="shared" ca="1" si="35"/>
        <v>0</v>
      </c>
      <c r="BF7" s="176">
        <f t="shared" si="65"/>
        <v>42127</v>
      </c>
      <c r="BG7" s="177">
        <f t="shared" ca="1" si="36"/>
        <v>0</v>
      </c>
      <c r="BH7" s="177">
        <f t="shared" ca="1" si="37"/>
        <v>0</v>
      </c>
      <c r="BI7" s="170">
        <f t="shared" ca="1" si="38"/>
        <v>0</v>
      </c>
      <c r="BJ7" s="176">
        <f t="shared" si="66"/>
        <v>42158</v>
      </c>
      <c r="BK7" s="177">
        <f t="shared" ca="1" si="39"/>
        <v>0</v>
      </c>
      <c r="BL7" s="177">
        <f t="shared" ca="1" si="40"/>
        <v>0</v>
      </c>
      <c r="BM7" s="170">
        <f t="shared" ca="1" si="41"/>
        <v>0</v>
      </c>
      <c r="BN7" s="176">
        <f t="shared" si="67"/>
        <v>42188</v>
      </c>
      <c r="BO7" s="177">
        <f t="shared" ca="1" si="42"/>
        <v>0</v>
      </c>
      <c r="BP7" s="177">
        <f t="shared" ca="1" si="43"/>
        <v>0</v>
      </c>
      <c r="BQ7" s="170">
        <f t="shared" ca="1" si="44"/>
        <v>0</v>
      </c>
      <c r="BR7" s="176">
        <f t="shared" si="68"/>
        <v>42219</v>
      </c>
      <c r="BS7" s="177">
        <f t="shared" ca="1" si="45"/>
        <v>0</v>
      </c>
      <c r="BT7" s="177">
        <f t="shared" ca="1" si="46"/>
        <v>0</v>
      </c>
      <c r="BU7" s="170">
        <f t="shared" ca="1" si="47"/>
        <v>0</v>
      </c>
      <c r="BV7" s="176">
        <f t="shared" si="69"/>
        <v>42250</v>
      </c>
      <c r="BW7" s="177">
        <f t="shared" ca="1" si="48"/>
        <v>0</v>
      </c>
      <c r="BX7" s="177">
        <f t="shared" ca="1" si="49"/>
        <v>0</v>
      </c>
      <c r="BY7" s="170">
        <f t="shared" ca="1" si="50"/>
        <v>0</v>
      </c>
      <c r="BZ7" s="176">
        <f t="shared" si="70"/>
        <v>42280</v>
      </c>
      <c r="CA7" s="177">
        <f t="shared" ca="1" si="51"/>
        <v>0</v>
      </c>
      <c r="CB7" s="177">
        <f t="shared" ca="1" si="52"/>
        <v>0</v>
      </c>
      <c r="CC7" s="170">
        <f t="shared" ca="1" si="53"/>
        <v>0</v>
      </c>
      <c r="CD7" s="176">
        <f t="shared" si="71"/>
        <v>42311</v>
      </c>
      <c r="CE7" s="177">
        <f t="shared" ca="1" si="54"/>
        <v>0</v>
      </c>
      <c r="CF7" s="177">
        <f t="shared" ca="1" si="55"/>
        <v>0</v>
      </c>
      <c r="CG7" s="170">
        <f t="shared" ca="1" si="56"/>
        <v>0</v>
      </c>
      <c r="CH7" s="176">
        <f t="shared" si="72"/>
        <v>42341</v>
      </c>
      <c r="CI7" s="177">
        <f t="shared" ca="1" si="57"/>
        <v>0</v>
      </c>
      <c r="CJ7" s="177">
        <f t="shared" ca="1" si="58"/>
        <v>0</v>
      </c>
      <c r="CK7" s="171">
        <f t="shared" ca="1" si="59"/>
        <v>0</v>
      </c>
    </row>
    <row r="8" spans="2:89" ht="21" customHeight="1" x14ac:dyDescent="0.25">
      <c r="B8" s="50">
        <v>5</v>
      </c>
      <c r="C8" s="51">
        <f>Jan!B12</f>
        <v>42008</v>
      </c>
      <c r="D8" s="52" t="str">
        <f t="shared" ca="1" si="0"/>
        <v/>
      </c>
      <c r="E8" s="53" t="str">
        <f t="shared" si="1"/>
        <v/>
      </c>
      <c r="F8" s="54">
        <f t="shared" si="73"/>
        <v>42039</v>
      </c>
      <c r="G8" s="52" t="str">
        <f t="shared" ca="1" si="2"/>
        <v/>
      </c>
      <c r="H8" s="53" t="str">
        <f t="shared" si="3"/>
        <v/>
      </c>
      <c r="I8" s="51">
        <f>Mrz!B12</f>
        <v>42067</v>
      </c>
      <c r="J8" s="52" t="str">
        <f t="shared" ca="1" si="4"/>
        <v/>
      </c>
      <c r="K8" s="53" t="str">
        <f t="shared" si="5"/>
        <v/>
      </c>
      <c r="L8" s="54">
        <f>Apr!B12</f>
        <v>42098</v>
      </c>
      <c r="M8" s="52" t="str">
        <f t="shared" ca="1" si="6"/>
        <v/>
      </c>
      <c r="N8" s="53" t="str">
        <f t="shared" si="7"/>
        <v/>
      </c>
      <c r="O8" s="51">
        <f>Mai!B12</f>
        <v>42128</v>
      </c>
      <c r="P8" s="52" t="str">
        <f t="shared" ca="1" si="8"/>
        <v/>
      </c>
      <c r="Q8" s="53" t="str">
        <f t="shared" si="9"/>
        <v/>
      </c>
      <c r="R8" s="54">
        <f>Jun!B12</f>
        <v>42159</v>
      </c>
      <c r="S8" s="52" t="str">
        <f t="shared" ca="1" si="10"/>
        <v/>
      </c>
      <c r="T8" s="53" t="str">
        <f t="shared" si="11"/>
        <v/>
      </c>
      <c r="U8" s="51">
        <f>Jul!B12</f>
        <v>42189</v>
      </c>
      <c r="V8" s="52" t="str">
        <f t="shared" ca="1" si="12"/>
        <v/>
      </c>
      <c r="W8" s="53" t="str">
        <f t="shared" si="13"/>
        <v/>
      </c>
      <c r="X8" s="54">
        <f>Aug!B12</f>
        <v>42220</v>
      </c>
      <c r="Y8" s="52" t="str">
        <f t="shared" ca="1" si="14"/>
        <v/>
      </c>
      <c r="Z8" s="53" t="str">
        <f t="shared" si="15"/>
        <v/>
      </c>
      <c r="AA8" s="51">
        <f>Sep!B12</f>
        <v>42251</v>
      </c>
      <c r="AB8" s="52" t="str">
        <f t="shared" ca="1" si="16"/>
        <v/>
      </c>
      <c r="AC8" s="53" t="str">
        <f t="shared" si="17"/>
        <v/>
      </c>
      <c r="AD8" s="54">
        <f>Okt!B12</f>
        <v>42281</v>
      </c>
      <c r="AE8" s="52" t="str">
        <f t="shared" ca="1" si="18"/>
        <v/>
      </c>
      <c r="AF8" s="53" t="str">
        <f t="shared" si="19"/>
        <v/>
      </c>
      <c r="AG8" s="51">
        <f>Nov!B12</f>
        <v>42312</v>
      </c>
      <c r="AH8" s="52" t="str">
        <f t="shared" ca="1" si="20"/>
        <v/>
      </c>
      <c r="AI8" s="53" t="str">
        <f t="shared" si="21"/>
        <v/>
      </c>
      <c r="AJ8" s="51">
        <f>Dez!B12</f>
        <v>42342</v>
      </c>
      <c r="AK8" s="52" t="str">
        <f t="shared" ca="1" si="22"/>
        <v/>
      </c>
      <c r="AL8" s="55" t="str">
        <f t="shared" si="23"/>
        <v/>
      </c>
      <c r="AO8" s="179">
        <f t="shared" si="60"/>
        <v>5</v>
      </c>
      <c r="AP8" s="176">
        <f t="shared" si="61"/>
        <v>42008</v>
      </c>
      <c r="AQ8" s="177">
        <f t="shared" ca="1" si="24"/>
        <v>0</v>
      </c>
      <c r="AR8" s="177">
        <f t="shared" ca="1" si="25"/>
        <v>0</v>
      </c>
      <c r="AS8" s="170">
        <f t="shared" ca="1" si="26"/>
        <v>0</v>
      </c>
      <c r="AT8" s="176">
        <f t="shared" si="62"/>
        <v>42039</v>
      </c>
      <c r="AU8" s="177">
        <f t="shared" ca="1" si="27"/>
        <v>0</v>
      </c>
      <c r="AV8" s="177">
        <f t="shared" ca="1" si="28"/>
        <v>0</v>
      </c>
      <c r="AW8" s="170">
        <f t="shared" ca="1" si="29"/>
        <v>0</v>
      </c>
      <c r="AX8" s="176">
        <f t="shared" si="63"/>
        <v>42067</v>
      </c>
      <c r="AY8" s="177">
        <f t="shared" ca="1" si="30"/>
        <v>0</v>
      </c>
      <c r="AZ8" s="177">
        <f t="shared" ca="1" si="31"/>
        <v>0</v>
      </c>
      <c r="BA8" s="170">
        <f t="shared" ca="1" si="32"/>
        <v>0</v>
      </c>
      <c r="BB8" s="176">
        <f t="shared" si="64"/>
        <v>42098</v>
      </c>
      <c r="BC8" s="177">
        <f t="shared" ca="1" si="33"/>
        <v>0</v>
      </c>
      <c r="BD8" s="177">
        <f t="shared" ca="1" si="34"/>
        <v>0</v>
      </c>
      <c r="BE8" s="170">
        <f t="shared" ca="1" si="35"/>
        <v>0</v>
      </c>
      <c r="BF8" s="176">
        <f t="shared" si="65"/>
        <v>42128</v>
      </c>
      <c r="BG8" s="177">
        <f t="shared" ca="1" si="36"/>
        <v>0</v>
      </c>
      <c r="BH8" s="177">
        <f t="shared" ca="1" si="37"/>
        <v>0</v>
      </c>
      <c r="BI8" s="170">
        <f t="shared" ca="1" si="38"/>
        <v>0</v>
      </c>
      <c r="BJ8" s="176">
        <f t="shared" si="66"/>
        <v>42159</v>
      </c>
      <c r="BK8" s="177">
        <f t="shared" ca="1" si="39"/>
        <v>0</v>
      </c>
      <c r="BL8" s="177">
        <f t="shared" ca="1" si="40"/>
        <v>0</v>
      </c>
      <c r="BM8" s="170">
        <f t="shared" ca="1" si="41"/>
        <v>0</v>
      </c>
      <c r="BN8" s="176">
        <f t="shared" si="67"/>
        <v>42189</v>
      </c>
      <c r="BO8" s="177">
        <f t="shared" ca="1" si="42"/>
        <v>0</v>
      </c>
      <c r="BP8" s="177">
        <f t="shared" ca="1" si="43"/>
        <v>0</v>
      </c>
      <c r="BQ8" s="170">
        <f t="shared" ca="1" si="44"/>
        <v>0</v>
      </c>
      <c r="BR8" s="176">
        <f t="shared" si="68"/>
        <v>42220</v>
      </c>
      <c r="BS8" s="177">
        <f t="shared" ca="1" si="45"/>
        <v>0</v>
      </c>
      <c r="BT8" s="177">
        <f t="shared" ca="1" si="46"/>
        <v>0</v>
      </c>
      <c r="BU8" s="170">
        <f t="shared" ca="1" si="47"/>
        <v>0</v>
      </c>
      <c r="BV8" s="176">
        <f t="shared" si="69"/>
        <v>42251</v>
      </c>
      <c r="BW8" s="177">
        <f t="shared" ca="1" si="48"/>
        <v>0</v>
      </c>
      <c r="BX8" s="177">
        <f t="shared" ca="1" si="49"/>
        <v>0</v>
      </c>
      <c r="BY8" s="170">
        <f t="shared" ca="1" si="50"/>
        <v>0</v>
      </c>
      <c r="BZ8" s="176">
        <f t="shared" si="70"/>
        <v>42281</v>
      </c>
      <c r="CA8" s="177">
        <f t="shared" ca="1" si="51"/>
        <v>0</v>
      </c>
      <c r="CB8" s="177">
        <f t="shared" ca="1" si="52"/>
        <v>0</v>
      </c>
      <c r="CC8" s="170">
        <f t="shared" ca="1" si="53"/>
        <v>0</v>
      </c>
      <c r="CD8" s="176">
        <f t="shared" si="71"/>
        <v>42312</v>
      </c>
      <c r="CE8" s="177">
        <f t="shared" ca="1" si="54"/>
        <v>0</v>
      </c>
      <c r="CF8" s="177">
        <f t="shared" ca="1" si="55"/>
        <v>0</v>
      </c>
      <c r="CG8" s="170">
        <f t="shared" ca="1" si="56"/>
        <v>0</v>
      </c>
      <c r="CH8" s="176">
        <f t="shared" si="72"/>
        <v>42342</v>
      </c>
      <c r="CI8" s="177">
        <f t="shared" ca="1" si="57"/>
        <v>0</v>
      </c>
      <c r="CJ8" s="177">
        <f t="shared" ca="1" si="58"/>
        <v>0</v>
      </c>
      <c r="CK8" s="171">
        <f t="shared" ca="1" si="59"/>
        <v>0</v>
      </c>
    </row>
    <row r="9" spans="2:89" ht="21" customHeight="1" x14ac:dyDescent="0.25">
      <c r="B9" s="50">
        <v>6</v>
      </c>
      <c r="C9" s="51">
        <f>Jan!B13</f>
        <v>42009</v>
      </c>
      <c r="D9" s="52" t="str">
        <f t="shared" ca="1" si="0"/>
        <v/>
      </c>
      <c r="E9" s="53" t="str">
        <f t="shared" si="1"/>
        <v/>
      </c>
      <c r="F9" s="54">
        <f t="shared" si="73"/>
        <v>42040</v>
      </c>
      <c r="G9" s="52" t="str">
        <f t="shared" ca="1" si="2"/>
        <v/>
      </c>
      <c r="H9" s="53" t="str">
        <f t="shared" si="3"/>
        <v/>
      </c>
      <c r="I9" s="51">
        <f>Mrz!B13</f>
        <v>42068</v>
      </c>
      <c r="J9" s="52" t="str">
        <f t="shared" ca="1" si="4"/>
        <v/>
      </c>
      <c r="K9" s="53" t="str">
        <f t="shared" si="5"/>
        <v/>
      </c>
      <c r="L9" s="54">
        <f>Apr!B13</f>
        <v>42099</v>
      </c>
      <c r="M9" s="52" t="str">
        <f t="shared" ca="1" si="6"/>
        <v/>
      </c>
      <c r="N9" s="53" t="str">
        <f t="shared" si="7"/>
        <v/>
      </c>
      <c r="O9" s="51">
        <f>Mai!B13</f>
        <v>42129</v>
      </c>
      <c r="P9" s="52" t="str">
        <f t="shared" ca="1" si="8"/>
        <v/>
      </c>
      <c r="Q9" s="53" t="str">
        <f t="shared" si="9"/>
        <v/>
      </c>
      <c r="R9" s="54">
        <f>Jun!B13</f>
        <v>42160</v>
      </c>
      <c r="S9" s="52" t="str">
        <f t="shared" ca="1" si="10"/>
        <v/>
      </c>
      <c r="T9" s="53" t="str">
        <f t="shared" si="11"/>
        <v/>
      </c>
      <c r="U9" s="51">
        <f>Jul!B13</f>
        <v>42190</v>
      </c>
      <c r="V9" s="52" t="str">
        <f t="shared" ca="1" si="12"/>
        <v/>
      </c>
      <c r="W9" s="53" t="str">
        <f t="shared" si="13"/>
        <v/>
      </c>
      <c r="X9" s="54">
        <f>Aug!B13</f>
        <v>42221</v>
      </c>
      <c r="Y9" s="52" t="str">
        <f t="shared" ca="1" si="14"/>
        <v/>
      </c>
      <c r="Z9" s="53" t="str">
        <f t="shared" si="15"/>
        <v/>
      </c>
      <c r="AA9" s="51">
        <f>Sep!B13</f>
        <v>42252</v>
      </c>
      <c r="AB9" s="52" t="str">
        <f t="shared" ca="1" si="16"/>
        <v/>
      </c>
      <c r="AC9" s="53" t="str">
        <f t="shared" si="17"/>
        <v/>
      </c>
      <c r="AD9" s="54">
        <f>Okt!B13</f>
        <v>42282</v>
      </c>
      <c r="AE9" s="52" t="str">
        <f t="shared" ca="1" si="18"/>
        <v/>
      </c>
      <c r="AF9" s="53" t="str">
        <f t="shared" si="19"/>
        <v/>
      </c>
      <c r="AG9" s="51">
        <f>Nov!B13</f>
        <v>42313</v>
      </c>
      <c r="AH9" s="52" t="str">
        <f t="shared" ca="1" si="20"/>
        <v/>
      </c>
      <c r="AI9" s="53" t="str">
        <f t="shared" si="21"/>
        <v/>
      </c>
      <c r="AJ9" s="51">
        <f>Dez!B13</f>
        <v>42343</v>
      </c>
      <c r="AK9" s="52" t="str">
        <f t="shared" ca="1" si="22"/>
        <v/>
      </c>
      <c r="AL9" s="55" t="str">
        <f t="shared" si="23"/>
        <v/>
      </c>
      <c r="AO9" s="179">
        <f t="shared" si="60"/>
        <v>6</v>
      </c>
      <c r="AP9" s="176">
        <f t="shared" si="61"/>
        <v>42009</v>
      </c>
      <c r="AQ9" s="177">
        <f t="shared" ca="1" si="24"/>
        <v>0</v>
      </c>
      <c r="AR9" s="177">
        <f t="shared" ca="1" si="25"/>
        <v>0</v>
      </c>
      <c r="AS9" s="170">
        <f t="shared" ca="1" si="26"/>
        <v>0</v>
      </c>
      <c r="AT9" s="176">
        <f t="shared" si="62"/>
        <v>42040</v>
      </c>
      <c r="AU9" s="177">
        <f t="shared" ca="1" si="27"/>
        <v>0</v>
      </c>
      <c r="AV9" s="177">
        <f t="shared" ca="1" si="28"/>
        <v>0</v>
      </c>
      <c r="AW9" s="170">
        <f t="shared" ca="1" si="29"/>
        <v>0</v>
      </c>
      <c r="AX9" s="176">
        <f t="shared" si="63"/>
        <v>42068</v>
      </c>
      <c r="AY9" s="177">
        <f t="shared" ca="1" si="30"/>
        <v>0</v>
      </c>
      <c r="AZ9" s="177">
        <f t="shared" ca="1" si="31"/>
        <v>0</v>
      </c>
      <c r="BA9" s="170">
        <f t="shared" ca="1" si="32"/>
        <v>0</v>
      </c>
      <c r="BB9" s="176">
        <f t="shared" si="64"/>
        <v>42099</v>
      </c>
      <c r="BC9" s="177">
        <f t="shared" ca="1" si="33"/>
        <v>0</v>
      </c>
      <c r="BD9" s="177">
        <f t="shared" ca="1" si="34"/>
        <v>0</v>
      </c>
      <c r="BE9" s="170">
        <f t="shared" ca="1" si="35"/>
        <v>0</v>
      </c>
      <c r="BF9" s="176">
        <f t="shared" si="65"/>
        <v>42129</v>
      </c>
      <c r="BG9" s="177">
        <f t="shared" ca="1" si="36"/>
        <v>0</v>
      </c>
      <c r="BH9" s="177">
        <f t="shared" ca="1" si="37"/>
        <v>0</v>
      </c>
      <c r="BI9" s="170">
        <f t="shared" ca="1" si="38"/>
        <v>0</v>
      </c>
      <c r="BJ9" s="176">
        <f t="shared" si="66"/>
        <v>42160</v>
      </c>
      <c r="BK9" s="177">
        <f t="shared" ca="1" si="39"/>
        <v>0</v>
      </c>
      <c r="BL9" s="177">
        <f t="shared" ca="1" si="40"/>
        <v>0</v>
      </c>
      <c r="BM9" s="170">
        <f t="shared" ca="1" si="41"/>
        <v>0</v>
      </c>
      <c r="BN9" s="176">
        <f t="shared" si="67"/>
        <v>42190</v>
      </c>
      <c r="BO9" s="177">
        <f t="shared" ca="1" si="42"/>
        <v>0</v>
      </c>
      <c r="BP9" s="177">
        <f t="shared" ca="1" si="43"/>
        <v>0</v>
      </c>
      <c r="BQ9" s="170">
        <f t="shared" ca="1" si="44"/>
        <v>0</v>
      </c>
      <c r="BR9" s="176">
        <f t="shared" si="68"/>
        <v>42221</v>
      </c>
      <c r="BS9" s="177">
        <f t="shared" ca="1" si="45"/>
        <v>0</v>
      </c>
      <c r="BT9" s="177">
        <f t="shared" ca="1" si="46"/>
        <v>0</v>
      </c>
      <c r="BU9" s="170">
        <f t="shared" ca="1" si="47"/>
        <v>0</v>
      </c>
      <c r="BV9" s="176">
        <f t="shared" si="69"/>
        <v>42252</v>
      </c>
      <c r="BW9" s="177">
        <f t="shared" ca="1" si="48"/>
        <v>0</v>
      </c>
      <c r="BX9" s="177">
        <f t="shared" ca="1" si="49"/>
        <v>0</v>
      </c>
      <c r="BY9" s="170">
        <f t="shared" ca="1" si="50"/>
        <v>0</v>
      </c>
      <c r="BZ9" s="176">
        <f t="shared" si="70"/>
        <v>42282</v>
      </c>
      <c r="CA9" s="177">
        <f t="shared" ca="1" si="51"/>
        <v>0</v>
      </c>
      <c r="CB9" s="177">
        <f t="shared" ca="1" si="52"/>
        <v>0</v>
      </c>
      <c r="CC9" s="170">
        <f t="shared" ca="1" si="53"/>
        <v>0</v>
      </c>
      <c r="CD9" s="176">
        <f t="shared" si="71"/>
        <v>42313</v>
      </c>
      <c r="CE9" s="177">
        <f t="shared" ca="1" si="54"/>
        <v>0</v>
      </c>
      <c r="CF9" s="177">
        <f t="shared" ca="1" si="55"/>
        <v>0</v>
      </c>
      <c r="CG9" s="170">
        <f t="shared" ca="1" si="56"/>
        <v>0</v>
      </c>
      <c r="CH9" s="176">
        <f t="shared" si="72"/>
        <v>42343</v>
      </c>
      <c r="CI9" s="177">
        <f t="shared" ca="1" si="57"/>
        <v>0</v>
      </c>
      <c r="CJ9" s="177">
        <f t="shared" ca="1" si="58"/>
        <v>0</v>
      </c>
      <c r="CK9" s="171">
        <f t="shared" ca="1" si="59"/>
        <v>0</v>
      </c>
    </row>
    <row r="10" spans="2:89" ht="21" customHeight="1" x14ac:dyDescent="0.25">
      <c r="B10" s="50">
        <v>7</v>
      </c>
      <c r="C10" s="51">
        <f>Jan!B14</f>
        <v>42010</v>
      </c>
      <c r="D10" s="52" t="str">
        <f t="shared" ca="1" si="0"/>
        <v/>
      </c>
      <c r="E10" s="53" t="str">
        <f t="shared" si="1"/>
        <v/>
      </c>
      <c r="F10" s="54">
        <f t="shared" si="73"/>
        <v>42041</v>
      </c>
      <c r="G10" s="52" t="str">
        <f t="shared" ca="1" si="2"/>
        <v/>
      </c>
      <c r="H10" s="53" t="str">
        <f t="shared" si="3"/>
        <v/>
      </c>
      <c r="I10" s="51">
        <f>Mrz!B14</f>
        <v>42069</v>
      </c>
      <c r="J10" s="52" t="str">
        <f t="shared" ca="1" si="4"/>
        <v/>
      </c>
      <c r="K10" s="53" t="str">
        <f t="shared" si="5"/>
        <v/>
      </c>
      <c r="L10" s="54">
        <f>Apr!B14</f>
        <v>42100</v>
      </c>
      <c r="M10" s="52" t="str">
        <f t="shared" ca="1" si="6"/>
        <v/>
      </c>
      <c r="N10" s="53" t="str">
        <f t="shared" si="7"/>
        <v/>
      </c>
      <c r="O10" s="51">
        <f>Mai!B14</f>
        <v>42130</v>
      </c>
      <c r="P10" s="52" t="str">
        <f t="shared" ca="1" si="8"/>
        <v/>
      </c>
      <c r="Q10" s="53" t="str">
        <f t="shared" si="9"/>
        <v/>
      </c>
      <c r="R10" s="54">
        <f>Jun!B14</f>
        <v>42161</v>
      </c>
      <c r="S10" s="52" t="str">
        <f t="shared" ca="1" si="10"/>
        <v/>
      </c>
      <c r="T10" s="53" t="str">
        <f t="shared" si="11"/>
        <v/>
      </c>
      <c r="U10" s="51">
        <f>Jul!B14</f>
        <v>42191</v>
      </c>
      <c r="V10" s="52" t="str">
        <f t="shared" ca="1" si="12"/>
        <v/>
      </c>
      <c r="W10" s="53" t="str">
        <f t="shared" si="13"/>
        <v/>
      </c>
      <c r="X10" s="54">
        <f>Aug!B14</f>
        <v>42222</v>
      </c>
      <c r="Y10" s="52" t="str">
        <f t="shared" ca="1" si="14"/>
        <v/>
      </c>
      <c r="Z10" s="53" t="str">
        <f t="shared" si="15"/>
        <v/>
      </c>
      <c r="AA10" s="51">
        <f>Sep!B14</f>
        <v>42253</v>
      </c>
      <c r="AB10" s="52" t="str">
        <f t="shared" ca="1" si="16"/>
        <v/>
      </c>
      <c r="AC10" s="53" t="str">
        <f t="shared" si="17"/>
        <v/>
      </c>
      <c r="AD10" s="54">
        <f>Okt!B14</f>
        <v>42283</v>
      </c>
      <c r="AE10" s="52" t="str">
        <f t="shared" ca="1" si="18"/>
        <v/>
      </c>
      <c r="AF10" s="53" t="str">
        <f t="shared" si="19"/>
        <v/>
      </c>
      <c r="AG10" s="51">
        <f>Nov!B14</f>
        <v>42314</v>
      </c>
      <c r="AH10" s="52" t="str">
        <f t="shared" ca="1" si="20"/>
        <v/>
      </c>
      <c r="AI10" s="53" t="str">
        <f t="shared" si="21"/>
        <v/>
      </c>
      <c r="AJ10" s="51">
        <f>Dez!B14</f>
        <v>42344</v>
      </c>
      <c r="AK10" s="52" t="str">
        <f t="shared" ca="1" si="22"/>
        <v/>
      </c>
      <c r="AL10" s="55" t="str">
        <f t="shared" si="23"/>
        <v/>
      </c>
      <c r="AO10" s="179">
        <f t="shared" si="60"/>
        <v>7</v>
      </c>
      <c r="AP10" s="176">
        <f t="shared" si="61"/>
        <v>42010</v>
      </c>
      <c r="AQ10" s="177">
        <f t="shared" ca="1" si="24"/>
        <v>0</v>
      </c>
      <c r="AR10" s="177">
        <f t="shared" ca="1" si="25"/>
        <v>0</v>
      </c>
      <c r="AS10" s="170">
        <f t="shared" ca="1" si="26"/>
        <v>0</v>
      </c>
      <c r="AT10" s="176">
        <f t="shared" si="62"/>
        <v>42041</v>
      </c>
      <c r="AU10" s="177">
        <f t="shared" ca="1" si="27"/>
        <v>0</v>
      </c>
      <c r="AV10" s="177">
        <f t="shared" ca="1" si="28"/>
        <v>0</v>
      </c>
      <c r="AW10" s="170">
        <f t="shared" ca="1" si="29"/>
        <v>0</v>
      </c>
      <c r="AX10" s="176">
        <f t="shared" si="63"/>
        <v>42069</v>
      </c>
      <c r="AY10" s="177">
        <f t="shared" ca="1" si="30"/>
        <v>0</v>
      </c>
      <c r="AZ10" s="177">
        <f t="shared" ca="1" si="31"/>
        <v>0</v>
      </c>
      <c r="BA10" s="170">
        <f t="shared" ca="1" si="32"/>
        <v>0</v>
      </c>
      <c r="BB10" s="176">
        <f t="shared" si="64"/>
        <v>42100</v>
      </c>
      <c r="BC10" s="177">
        <f t="shared" ca="1" si="33"/>
        <v>0</v>
      </c>
      <c r="BD10" s="177">
        <f t="shared" ca="1" si="34"/>
        <v>0</v>
      </c>
      <c r="BE10" s="170">
        <f t="shared" ca="1" si="35"/>
        <v>0</v>
      </c>
      <c r="BF10" s="176">
        <f t="shared" si="65"/>
        <v>42130</v>
      </c>
      <c r="BG10" s="177">
        <f t="shared" ca="1" si="36"/>
        <v>0</v>
      </c>
      <c r="BH10" s="177">
        <f t="shared" ca="1" si="37"/>
        <v>0</v>
      </c>
      <c r="BI10" s="170">
        <f t="shared" ca="1" si="38"/>
        <v>0</v>
      </c>
      <c r="BJ10" s="176">
        <f t="shared" si="66"/>
        <v>42161</v>
      </c>
      <c r="BK10" s="177">
        <f t="shared" ca="1" si="39"/>
        <v>0</v>
      </c>
      <c r="BL10" s="177">
        <f t="shared" ca="1" si="40"/>
        <v>0</v>
      </c>
      <c r="BM10" s="170">
        <f t="shared" ca="1" si="41"/>
        <v>0</v>
      </c>
      <c r="BN10" s="176">
        <f t="shared" si="67"/>
        <v>42191</v>
      </c>
      <c r="BO10" s="177">
        <f t="shared" ca="1" si="42"/>
        <v>0</v>
      </c>
      <c r="BP10" s="177">
        <f t="shared" ca="1" si="43"/>
        <v>0</v>
      </c>
      <c r="BQ10" s="170">
        <f t="shared" ca="1" si="44"/>
        <v>0</v>
      </c>
      <c r="BR10" s="176">
        <f t="shared" si="68"/>
        <v>42222</v>
      </c>
      <c r="BS10" s="177">
        <f t="shared" ca="1" si="45"/>
        <v>0</v>
      </c>
      <c r="BT10" s="177">
        <f t="shared" ca="1" si="46"/>
        <v>0</v>
      </c>
      <c r="BU10" s="170">
        <f t="shared" ca="1" si="47"/>
        <v>0</v>
      </c>
      <c r="BV10" s="176">
        <f t="shared" si="69"/>
        <v>42253</v>
      </c>
      <c r="BW10" s="177">
        <f t="shared" ca="1" si="48"/>
        <v>0</v>
      </c>
      <c r="BX10" s="177">
        <f t="shared" ca="1" si="49"/>
        <v>0</v>
      </c>
      <c r="BY10" s="170">
        <f t="shared" ca="1" si="50"/>
        <v>0</v>
      </c>
      <c r="BZ10" s="176">
        <f t="shared" si="70"/>
        <v>42283</v>
      </c>
      <c r="CA10" s="177">
        <f t="shared" ca="1" si="51"/>
        <v>0</v>
      </c>
      <c r="CB10" s="177">
        <f t="shared" ca="1" si="52"/>
        <v>0</v>
      </c>
      <c r="CC10" s="170">
        <f t="shared" ca="1" si="53"/>
        <v>0</v>
      </c>
      <c r="CD10" s="176">
        <f t="shared" si="71"/>
        <v>42314</v>
      </c>
      <c r="CE10" s="177">
        <f t="shared" ca="1" si="54"/>
        <v>0</v>
      </c>
      <c r="CF10" s="177">
        <f t="shared" ca="1" si="55"/>
        <v>0</v>
      </c>
      <c r="CG10" s="170">
        <f t="shared" ca="1" si="56"/>
        <v>0</v>
      </c>
      <c r="CH10" s="176">
        <f t="shared" si="72"/>
        <v>42344</v>
      </c>
      <c r="CI10" s="177">
        <f t="shared" ca="1" si="57"/>
        <v>0</v>
      </c>
      <c r="CJ10" s="177">
        <f t="shared" ca="1" si="58"/>
        <v>0</v>
      </c>
      <c r="CK10" s="171">
        <f t="shared" ca="1" si="59"/>
        <v>0</v>
      </c>
    </row>
    <row r="11" spans="2:89" ht="21" customHeight="1" x14ac:dyDescent="0.25">
      <c r="B11" s="50">
        <v>8</v>
      </c>
      <c r="C11" s="51">
        <f>Jan!B15</f>
        <v>42011</v>
      </c>
      <c r="D11" s="52" t="str">
        <f t="shared" ca="1" si="0"/>
        <v/>
      </c>
      <c r="E11" s="53" t="str">
        <f t="shared" si="1"/>
        <v/>
      </c>
      <c r="F11" s="54">
        <f t="shared" si="73"/>
        <v>42042</v>
      </c>
      <c r="G11" s="52" t="str">
        <f t="shared" ca="1" si="2"/>
        <v/>
      </c>
      <c r="H11" s="53" t="str">
        <f t="shared" si="3"/>
        <v/>
      </c>
      <c r="I11" s="51">
        <f>Mrz!B15</f>
        <v>42070</v>
      </c>
      <c r="J11" s="52" t="str">
        <f t="shared" ca="1" si="4"/>
        <v/>
      </c>
      <c r="K11" s="53" t="str">
        <f t="shared" si="5"/>
        <v/>
      </c>
      <c r="L11" s="54">
        <f>Apr!B15</f>
        <v>42101</v>
      </c>
      <c r="M11" s="52" t="str">
        <f t="shared" ca="1" si="6"/>
        <v/>
      </c>
      <c r="N11" s="53" t="str">
        <f t="shared" si="7"/>
        <v/>
      </c>
      <c r="O11" s="51">
        <f>Mai!B15</f>
        <v>42131</v>
      </c>
      <c r="P11" s="52" t="str">
        <f t="shared" ca="1" si="8"/>
        <v/>
      </c>
      <c r="Q11" s="53" t="str">
        <f t="shared" si="9"/>
        <v/>
      </c>
      <c r="R11" s="54">
        <f>Jun!B15</f>
        <v>42162</v>
      </c>
      <c r="S11" s="52" t="str">
        <f t="shared" si="10"/>
        <v/>
      </c>
      <c r="T11" s="53" t="str">
        <f t="shared" si="11"/>
        <v/>
      </c>
      <c r="U11" s="51">
        <f>Jul!B15</f>
        <v>42192</v>
      </c>
      <c r="V11" s="52" t="str">
        <f t="shared" ca="1" si="12"/>
        <v/>
      </c>
      <c r="W11" s="53" t="str">
        <f t="shared" si="13"/>
        <v/>
      </c>
      <c r="X11" s="54">
        <f>Aug!B15</f>
        <v>42223</v>
      </c>
      <c r="Y11" s="52" t="str">
        <f t="shared" ca="1" si="14"/>
        <v/>
      </c>
      <c r="Z11" s="53" t="str">
        <f t="shared" si="15"/>
        <v/>
      </c>
      <c r="AA11" s="51">
        <f>Sep!B15</f>
        <v>42254</v>
      </c>
      <c r="AB11" s="52" t="str">
        <f t="shared" ca="1" si="16"/>
        <v/>
      </c>
      <c r="AC11" s="53" t="str">
        <f t="shared" si="17"/>
        <v/>
      </c>
      <c r="AD11" s="54">
        <f>Okt!B15</f>
        <v>42284</v>
      </c>
      <c r="AE11" s="52" t="str">
        <f t="shared" ca="1" si="18"/>
        <v/>
      </c>
      <c r="AF11" s="53" t="str">
        <f t="shared" si="19"/>
        <v/>
      </c>
      <c r="AG11" s="51">
        <f>Nov!B15</f>
        <v>42315</v>
      </c>
      <c r="AH11" s="52" t="str">
        <f t="shared" ca="1" si="20"/>
        <v/>
      </c>
      <c r="AI11" s="53" t="str">
        <f t="shared" si="21"/>
        <v/>
      </c>
      <c r="AJ11" s="51">
        <f>Dez!B15</f>
        <v>42345</v>
      </c>
      <c r="AK11" s="52" t="str">
        <f t="shared" ca="1" si="22"/>
        <v/>
      </c>
      <c r="AL11" s="55" t="str">
        <f t="shared" si="23"/>
        <v/>
      </c>
      <c r="AO11" s="179">
        <f t="shared" si="60"/>
        <v>8</v>
      </c>
      <c r="AP11" s="176">
        <f t="shared" si="61"/>
        <v>42011</v>
      </c>
      <c r="AQ11" s="177">
        <f t="shared" ca="1" si="24"/>
        <v>0</v>
      </c>
      <c r="AR11" s="177">
        <f t="shared" ca="1" si="25"/>
        <v>0</v>
      </c>
      <c r="AS11" s="170">
        <f t="shared" ca="1" si="26"/>
        <v>0</v>
      </c>
      <c r="AT11" s="176">
        <f t="shared" si="62"/>
        <v>42042</v>
      </c>
      <c r="AU11" s="177">
        <f t="shared" ca="1" si="27"/>
        <v>0</v>
      </c>
      <c r="AV11" s="177">
        <f t="shared" ca="1" si="28"/>
        <v>0</v>
      </c>
      <c r="AW11" s="170">
        <f t="shared" ca="1" si="29"/>
        <v>0</v>
      </c>
      <c r="AX11" s="176">
        <f t="shared" si="63"/>
        <v>42070</v>
      </c>
      <c r="AY11" s="177">
        <f t="shared" ca="1" si="30"/>
        <v>0</v>
      </c>
      <c r="AZ11" s="177">
        <f t="shared" ca="1" si="31"/>
        <v>0</v>
      </c>
      <c r="BA11" s="170">
        <f t="shared" ca="1" si="32"/>
        <v>0</v>
      </c>
      <c r="BB11" s="176">
        <f t="shared" si="64"/>
        <v>42101</v>
      </c>
      <c r="BC11" s="177">
        <f t="shared" ca="1" si="33"/>
        <v>0</v>
      </c>
      <c r="BD11" s="177">
        <f t="shared" ca="1" si="34"/>
        <v>0</v>
      </c>
      <c r="BE11" s="170">
        <f t="shared" ca="1" si="35"/>
        <v>0</v>
      </c>
      <c r="BF11" s="176">
        <f t="shared" si="65"/>
        <v>42131</v>
      </c>
      <c r="BG11" s="177">
        <f t="shared" ca="1" si="36"/>
        <v>0</v>
      </c>
      <c r="BH11" s="177">
        <f t="shared" ca="1" si="37"/>
        <v>0</v>
      </c>
      <c r="BI11" s="170">
        <f t="shared" ca="1" si="38"/>
        <v>0</v>
      </c>
      <c r="BJ11" s="176">
        <f t="shared" si="66"/>
        <v>42162</v>
      </c>
      <c r="BK11" s="177">
        <f t="shared" ca="1" si="39"/>
        <v>0</v>
      </c>
      <c r="BL11" s="177">
        <f t="shared" ca="1" si="40"/>
        <v>0</v>
      </c>
      <c r="BM11" s="170">
        <f t="shared" ca="1" si="41"/>
        <v>0</v>
      </c>
      <c r="BN11" s="176">
        <f t="shared" si="67"/>
        <v>42192</v>
      </c>
      <c r="BO11" s="177">
        <f t="shared" ca="1" si="42"/>
        <v>0</v>
      </c>
      <c r="BP11" s="177">
        <f t="shared" ca="1" si="43"/>
        <v>0</v>
      </c>
      <c r="BQ11" s="170">
        <f t="shared" ca="1" si="44"/>
        <v>0</v>
      </c>
      <c r="BR11" s="176">
        <f t="shared" si="68"/>
        <v>42223</v>
      </c>
      <c r="BS11" s="177">
        <f t="shared" ca="1" si="45"/>
        <v>0</v>
      </c>
      <c r="BT11" s="177">
        <f t="shared" ca="1" si="46"/>
        <v>0</v>
      </c>
      <c r="BU11" s="170">
        <f t="shared" ca="1" si="47"/>
        <v>0</v>
      </c>
      <c r="BV11" s="176">
        <f t="shared" si="69"/>
        <v>42254</v>
      </c>
      <c r="BW11" s="177">
        <f t="shared" ca="1" si="48"/>
        <v>0</v>
      </c>
      <c r="BX11" s="177">
        <f t="shared" ca="1" si="49"/>
        <v>0</v>
      </c>
      <c r="BY11" s="170">
        <f t="shared" ca="1" si="50"/>
        <v>0</v>
      </c>
      <c r="BZ11" s="176">
        <f t="shared" si="70"/>
        <v>42284</v>
      </c>
      <c r="CA11" s="177">
        <f t="shared" ca="1" si="51"/>
        <v>0</v>
      </c>
      <c r="CB11" s="177">
        <f t="shared" ca="1" si="52"/>
        <v>0</v>
      </c>
      <c r="CC11" s="170">
        <f t="shared" ca="1" si="53"/>
        <v>0</v>
      </c>
      <c r="CD11" s="176">
        <f t="shared" si="71"/>
        <v>42315</v>
      </c>
      <c r="CE11" s="177">
        <f t="shared" ca="1" si="54"/>
        <v>0</v>
      </c>
      <c r="CF11" s="177">
        <f t="shared" ca="1" si="55"/>
        <v>0</v>
      </c>
      <c r="CG11" s="170">
        <f t="shared" ca="1" si="56"/>
        <v>0</v>
      </c>
      <c r="CH11" s="176">
        <f t="shared" si="72"/>
        <v>42345</v>
      </c>
      <c r="CI11" s="177">
        <f t="shared" ca="1" si="57"/>
        <v>0</v>
      </c>
      <c r="CJ11" s="177">
        <f t="shared" ca="1" si="58"/>
        <v>0</v>
      </c>
      <c r="CK11" s="171">
        <f t="shared" ca="1" si="59"/>
        <v>0</v>
      </c>
    </row>
    <row r="12" spans="2:89" ht="21" customHeight="1" x14ac:dyDescent="0.25">
      <c r="B12" s="50">
        <v>9</v>
      </c>
      <c r="C12" s="51">
        <f>Jan!B16</f>
        <v>42012</v>
      </c>
      <c r="D12" s="52" t="str">
        <f t="shared" ca="1" si="0"/>
        <v/>
      </c>
      <c r="E12" s="53" t="str">
        <f t="shared" si="1"/>
        <v/>
      </c>
      <c r="F12" s="54">
        <f t="shared" si="73"/>
        <v>42043</v>
      </c>
      <c r="G12" s="52" t="str">
        <f t="shared" ca="1" si="2"/>
        <v/>
      </c>
      <c r="H12" s="53" t="str">
        <f t="shared" si="3"/>
        <v/>
      </c>
      <c r="I12" s="51">
        <f>Mrz!B16</f>
        <v>42071</v>
      </c>
      <c r="J12" s="52" t="str">
        <f t="shared" ca="1" si="4"/>
        <v/>
      </c>
      <c r="K12" s="53" t="str">
        <f t="shared" si="5"/>
        <v/>
      </c>
      <c r="L12" s="54">
        <f>Apr!B16</f>
        <v>42102</v>
      </c>
      <c r="M12" s="52" t="str">
        <f t="shared" ca="1" si="6"/>
        <v/>
      </c>
      <c r="N12" s="53" t="str">
        <f t="shared" si="7"/>
        <v/>
      </c>
      <c r="O12" s="51">
        <f>Mai!B16</f>
        <v>42132</v>
      </c>
      <c r="P12" s="52" t="str">
        <f t="shared" ca="1" si="8"/>
        <v/>
      </c>
      <c r="Q12" s="53" t="str">
        <f t="shared" si="9"/>
        <v/>
      </c>
      <c r="R12" s="54">
        <f>Jun!B16</f>
        <v>42163</v>
      </c>
      <c r="S12" s="52" t="str">
        <f t="shared" si="10"/>
        <v/>
      </c>
      <c r="T12" s="53" t="str">
        <f t="shared" si="11"/>
        <v/>
      </c>
      <c r="U12" s="51">
        <f>Jul!B16</f>
        <v>42193</v>
      </c>
      <c r="V12" s="52" t="str">
        <f t="shared" ca="1" si="12"/>
        <v/>
      </c>
      <c r="W12" s="53" t="str">
        <f t="shared" si="13"/>
        <v/>
      </c>
      <c r="X12" s="54">
        <f>Aug!B16</f>
        <v>42224</v>
      </c>
      <c r="Y12" s="52" t="str">
        <f t="shared" ca="1" si="14"/>
        <v/>
      </c>
      <c r="Z12" s="53" t="str">
        <f t="shared" si="15"/>
        <v/>
      </c>
      <c r="AA12" s="51">
        <f>Sep!B16</f>
        <v>42255</v>
      </c>
      <c r="AB12" s="52" t="str">
        <f t="shared" ca="1" si="16"/>
        <v/>
      </c>
      <c r="AC12" s="53" t="str">
        <f t="shared" si="17"/>
        <v/>
      </c>
      <c r="AD12" s="54">
        <f>Okt!B16</f>
        <v>42285</v>
      </c>
      <c r="AE12" s="52" t="str">
        <f t="shared" ca="1" si="18"/>
        <v/>
      </c>
      <c r="AF12" s="53" t="str">
        <f t="shared" si="19"/>
        <v/>
      </c>
      <c r="AG12" s="51">
        <f>Nov!B16</f>
        <v>42316</v>
      </c>
      <c r="AH12" s="52" t="str">
        <f t="shared" ca="1" si="20"/>
        <v/>
      </c>
      <c r="AI12" s="53" t="str">
        <f t="shared" si="21"/>
        <v/>
      </c>
      <c r="AJ12" s="51">
        <f>Dez!B16</f>
        <v>42346</v>
      </c>
      <c r="AK12" s="52" t="str">
        <f t="shared" ca="1" si="22"/>
        <v/>
      </c>
      <c r="AL12" s="55" t="str">
        <f t="shared" si="23"/>
        <v/>
      </c>
      <c r="AO12" s="179">
        <f t="shared" si="60"/>
        <v>9</v>
      </c>
      <c r="AP12" s="176">
        <f t="shared" si="61"/>
        <v>42012</v>
      </c>
      <c r="AQ12" s="177">
        <f t="shared" ca="1" si="24"/>
        <v>0</v>
      </c>
      <c r="AR12" s="177">
        <f t="shared" ca="1" si="25"/>
        <v>0</v>
      </c>
      <c r="AS12" s="170">
        <f t="shared" ca="1" si="26"/>
        <v>0</v>
      </c>
      <c r="AT12" s="176">
        <f t="shared" si="62"/>
        <v>42043</v>
      </c>
      <c r="AU12" s="177">
        <f t="shared" ca="1" si="27"/>
        <v>0</v>
      </c>
      <c r="AV12" s="177">
        <f t="shared" ca="1" si="28"/>
        <v>0</v>
      </c>
      <c r="AW12" s="170">
        <f t="shared" ca="1" si="29"/>
        <v>0</v>
      </c>
      <c r="AX12" s="176">
        <f t="shared" si="63"/>
        <v>42071</v>
      </c>
      <c r="AY12" s="177">
        <f t="shared" ca="1" si="30"/>
        <v>0</v>
      </c>
      <c r="AZ12" s="177">
        <f t="shared" ca="1" si="31"/>
        <v>0</v>
      </c>
      <c r="BA12" s="170">
        <f t="shared" ca="1" si="32"/>
        <v>0</v>
      </c>
      <c r="BB12" s="176">
        <f t="shared" si="64"/>
        <v>42102</v>
      </c>
      <c r="BC12" s="177">
        <f t="shared" ca="1" si="33"/>
        <v>0</v>
      </c>
      <c r="BD12" s="177">
        <f t="shared" ca="1" si="34"/>
        <v>0</v>
      </c>
      <c r="BE12" s="170">
        <f t="shared" ca="1" si="35"/>
        <v>0</v>
      </c>
      <c r="BF12" s="176">
        <f t="shared" si="65"/>
        <v>42132</v>
      </c>
      <c r="BG12" s="177">
        <f t="shared" ca="1" si="36"/>
        <v>0</v>
      </c>
      <c r="BH12" s="177">
        <f t="shared" ca="1" si="37"/>
        <v>0</v>
      </c>
      <c r="BI12" s="170">
        <f t="shared" ca="1" si="38"/>
        <v>0</v>
      </c>
      <c r="BJ12" s="176">
        <f t="shared" si="66"/>
        <v>42163</v>
      </c>
      <c r="BK12" s="177">
        <f t="shared" ca="1" si="39"/>
        <v>0</v>
      </c>
      <c r="BL12" s="177">
        <f t="shared" ca="1" si="40"/>
        <v>0</v>
      </c>
      <c r="BM12" s="170">
        <f t="shared" ca="1" si="41"/>
        <v>0</v>
      </c>
      <c r="BN12" s="176">
        <f t="shared" si="67"/>
        <v>42193</v>
      </c>
      <c r="BO12" s="177">
        <f t="shared" ca="1" si="42"/>
        <v>0</v>
      </c>
      <c r="BP12" s="177">
        <f t="shared" ca="1" si="43"/>
        <v>0</v>
      </c>
      <c r="BQ12" s="170">
        <f t="shared" ca="1" si="44"/>
        <v>0</v>
      </c>
      <c r="BR12" s="176">
        <f t="shared" si="68"/>
        <v>42224</v>
      </c>
      <c r="BS12" s="177">
        <f t="shared" ca="1" si="45"/>
        <v>0</v>
      </c>
      <c r="BT12" s="177">
        <f t="shared" ca="1" si="46"/>
        <v>0</v>
      </c>
      <c r="BU12" s="170">
        <f t="shared" ca="1" si="47"/>
        <v>0</v>
      </c>
      <c r="BV12" s="176">
        <f t="shared" si="69"/>
        <v>42255</v>
      </c>
      <c r="BW12" s="177">
        <f t="shared" ca="1" si="48"/>
        <v>0</v>
      </c>
      <c r="BX12" s="177">
        <f t="shared" ca="1" si="49"/>
        <v>0</v>
      </c>
      <c r="BY12" s="170">
        <f t="shared" ca="1" si="50"/>
        <v>0</v>
      </c>
      <c r="BZ12" s="176">
        <f t="shared" si="70"/>
        <v>42285</v>
      </c>
      <c r="CA12" s="177">
        <f t="shared" ca="1" si="51"/>
        <v>0</v>
      </c>
      <c r="CB12" s="177">
        <f t="shared" ca="1" si="52"/>
        <v>0</v>
      </c>
      <c r="CC12" s="170">
        <f t="shared" ca="1" si="53"/>
        <v>0</v>
      </c>
      <c r="CD12" s="176">
        <f t="shared" si="71"/>
        <v>42316</v>
      </c>
      <c r="CE12" s="177">
        <f t="shared" ca="1" si="54"/>
        <v>0</v>
      </c>
      <c r="CF12" s="177">
        <f t="shared" ca="1" si="55"/>
        <v>0</v>
      </c>
      <c r="CG12" s="170">
        <f t="shared" ca="1" si="56"/>
        <v>0</v>
      </c>
      <c r="CH12" s="176">
        <f t="shared" si="72"/>
        <v>42346</v>
      </c>
      <c r="CI12" s="177">
        <f t="shared" ca="1" si="57"/>
        <v>0</v>
      </c>
      <c r="CJ12" s="177">
        <f t="shared" ca="1" si="58"/>
        <v>0</v>
      </c>
      <c r="CK12" s="171">
        <f t="shared" ca="1" si="59"/>
        <v>0</v>
      </c>
    </row>
    <row r="13" spans="2:89" ht="21" customHeight="1" x14ac:dyDescent="0.25">
      <c r="B13" s="50">
        <v>10</v>
      </c>
      <c r="C13" s="51">
        <f>Jan!B17</f>
        <v>42013</v>
      </c>
      <c r="D13" s="52" t="str">
        <f t="shared" ca="1" si="0"/>
        <v/>
      </c>
      <c r="E13" s="53" t="str">
        <f t="shared" si="1"/>
        <v/>
      </c>
      <c r="F13" s="54">
        <f t="shared" si="73"/>
        <v>42044</v>
      </c>
      <c r="G13" s="52" t="str">
        <f t="shared" ca="1" si="2"/>
        <v/>
      </c>
      <c r="H13" s="53" t="str">
        <f t="shared" si="3"/>
        <v/>
      </c>
      <c r="I13" s="51">
        <f>Mrz!B17</f>
        <v>42072</v>
      </c>
      <c r="J13" s="52" t="str">
        <f t="shared" ca="1" si="4"/>
        <v/>
      </c>
      <c r="K13" s="53" t="str">
        <f t="shared" si="5"/>
        <v/>
      </c>
      <c r="L13" s="54">
        <f>Apr!B17</f>
        <v>42103</v>
      </c>
      <c r="M13" s="52" t="str">
        <f t="shared" ca="1" si="6"/>
        <v/>
      </c>
      <c r="N13" s="53" t="str">
        <f t="shared" si="7"/>
        <v/>
      </c>
      <c r="O13" s="51">
        <f>Mai!B17</f>
        <v>42133</v>
      </c>
      <c r="P13" s="52" t="str">
        <f t="shared" ca="1" si="8"/>
        <v/>
      </c>
      <c r="Q13" s="53" t="str">
        <f t="shared" si="9"/>
        <v/>
      </c>
      <c r="R13" s="54">
        <f>Jun!B17</f>
        <v>42164</v>
      </c>
      <c r="S13" s="52" t="str">
        <f t="shared" si="10"/>
        <v/>
      </c>
      <c r="T13" s="53" t="str">
        <f t="shared" si="11"/>
        <v/>
      </c>
      <c r="U13" s="51">
        <f>Jul!B17</f>
        <v>42194</v>
      </c>
      <c r="V13" s="52" t="str">
        <f t="shared" ca="1" si="12"/>
        <v/>
      </c>
      <c r="W13" s="53" t="str">
        <f t="shared" si="13"/>
        <v/>
      </c>
      <c r="X13" s="54">
        <f>Aug!B17</f>
        <v>42225</v>
      </c>
      <c r="Y13" s="52" t="str">
        <f t="shared" ca="1" si="14"/>
        <v/>
      </c>
      <c r="Z13" s="53" t="str">
        <f t="shared" si="15"/>
        <v/>
      </c>
      <c r="AA13" s="51">
        <f>Sep!B17</f>
        <v>42256</v>
      </c>
      <c r="AB13" s="52" t="str">
        <f t="shared" ca="1" si="16"/>
        <v/>
      </c>
      <c r="AC13" s="53" t="str">
        <f t="shared" si="17"/>
        <v/>
      </c>
      <c r="AD13" s="54">
        <f>Okt!B17</f>
        <v>42286</v>
      </c>
      <c r="AE13" s="52" t="str">
        <f t="shared" ca="1" si="18"/>
        <v/>
      </c>
      <c r="AF13" s="53" t="str">
        <f t="shared" si="19"/>
        <v/>
      </c>
      <c r="AG13" s="51">
        <f>Nov!B17</f>
        <v>42317</v>
      </c>
      <c r="AH13" s="52" t="str">
        <f t="shared" ca="1" si="20"/>
        <v/>
      </c>
      <c r="AI13" s="53" t="str">
        <f t="shared" si="21"/>
        <v/>
      </c>
      <c r="AJ13" s="51">
        <f>Dez!B17</f>
        <v>42347</v>
      </c>
      <c r="AK13" s="52" t="str">
        <f t="shared" ca="1" si="22"/>
        <v/>
      </c>
      <c r="AL13" s="55" t="str">
        <f t="shared" si="23"/>
        <v/>
      </c>
      <c r="AO13" s="179">
        <f t="shared" si="60"/>
        <v>10</v>
      </c>
      <c r="AP13" s="176">
        <f t="shared" si="61"/>
        <v>42013</v>
      </c>
      <c r="AQ13" s="177">
        <f t="shared" ca="1" si="24"/>
        <v>0</v>
      </c>
      <c r="AR13" s="177">
        <f t="shared" ca="1" si="25"/>
        <v>0</v>
      </c>
      <c r="AS13" s="170">
        <f t="shared" ca="1" si="26"/>
        <v>0</v>
      </c>
      <c r="AT13" s="176">
        <f t="shared" si="62"/>
        <v>42044</v>
      </c>
      <c r="AU13" s="177">
        <f t="shared" ca="1" si="27"/>
        <v>0</v>
      </c>
      <c r="AV13" s="177">
        <f t="shared" ca="1" si="28"/>
        <v>0</v>
      </c>
      <c r="AW13" s="170">
        <f t="shared" ca="1" si="29"/>
        <v>0</v>
      </c>
      <c r="AX13" s="176">
        <f t="shared" si="63"/>
        <v>42072</v>
      </c>
      <c r="AY13" s="177">
        <f t="shared" ca="1" si="30"/>
        <v>0</v>
      </c>
      <c r="AZ13" s="177">
        <f t="shared" ca="1" si="31"/>
        <v>0</v>
      </c>
      <c r="BA13" s="170">
        <f t="shared" ca="1" si="32"/>
        <v>0</v>
      </c>
      <c r="BB13" s="176">
        <f t="shared" si="64"/>
        <v>42103</v>
      </c>
      <c r="BC13" s="177">
        <f t="shared" ca="1" si="33"/>
        <v>0</v>
      </c>
      <c r="BD13" s="177">
        <f t="shared" ca="1" si="34"/>
        <v>0</v>
      </c>
      <c r="BE13" s="170">
        <f t="shared" ca="1" si="35"/>
        <v>0</v>
      </c>
      <c r="BF13" s="176">
        <f t="shared" si="65"/>
        <v>42133</v>
      </c>
      <c r="BG13" s="177">
        <f t="shared" ca="1" si="36"/>
        <v>0</v>
      </c>
      <c r="BH13" s="177">
        <f t="shared" ca="1" si="37"/>
        <v>0</v>
      </c>
      <c r="BI13" s="170">
        <f t="shared" ca="1" si="38"/>
        <v>0</v>
      </c>
      <c r="BJ13" s="176">
        <f t="shared" si="66"/>
        <v>42164</v>
      </c>
      <c r="BK13" s="177">
        <f t="shared" ca="1" si="39"/>
        <v>0</v>
      </c>
      <c r="BL13" s="177">
        <f t="shared" ca="1" si="40"/>
        <v>0</v>
      </c>
      <c r="BM13" s="170">
        <f t="shared" ca="1" si="41"/>
        <v>0</v>
      </c>
      <c r="BN13" s="176">
        <f t="shared" si="67"/>
        <v>42194</v>
      </c>
      <c r="BO13" s="177">
        <f t="shared" ca="1" si="42"/>
        <v>0</v>
      </c>
      <c r="BP13" s="177">
        <f t="shared" ca="1" si="43"/>
        <v>0</v>
      </c>
      <c r="BQ13" s="170">
        <f t="shared" ca="1" si="44"/>
        <v>0</v>
      </c>
      <c r="BR13" s="176">
        <f t="shared" si="68"/>
        <v>42225</v>
      </c>
      <c r="BS13" s="177">
        <f t="shared" ca="1" si="45"/>
        <v>0</v>
      </c>
      <c r="BT13" s="177">
        <f t="shared" ca="1" si="46"/>
        <v>0</v>
      </c>
      <c r="BU13" s="170">
        <f t="shared" ca="1" si="47"/>
        <v>0</v>
      </c>
      <c r="BV13" s="176">
        <f t="shared" si="69"/>
        <v>42256</v>
      </c>
      <c r="BW13" s="177">
        <f t="shared" ca="1" si="48"/>
        <v>0</v>
      </c>
      <c r="BX13" s="177">
        <f t="shared" ca="1" si="49"/>
        <v>0</v>
      </c>
      <c r="BY13" s="170">
        <f t="shared" ca="1" si="50"/>
        <v>0</v>
      </c>
      <c r="BZ13" s="176">
        <f t="shared" si="70"/>
        <v>42286</v>
      </c>
      <c r="CA13" s="177">
        <f t="shared" ca="1" si="51"/>
        <v>0</v>
      </c>
      <c r="CB13" s="177">
        <f t="shared" ca="1" si="52"/>
        <v>0</v>
      </c>
      <c r="CC13" s="170">
        <f t="shared" ca="1" si="53"/>
        <v>0</v>
      </c>
      <c r="CD13" s="176">
        <f t="shared" si="71"/>
        <v>42317</v>
      </c>
      <c r="CE13" s="177">
        <f t="shared" ca="1" si="54"/>
        <v>0</v>
      </c>
      <c r="CF13" s="177">
        <f t="shared" ca="1" si="55"/>
        <v>0</v>
      </c>
      <c r="CG13" s="170">
        <f t="shared" ca="1" si="56"/>
        <v>0</v>
      </c>
      <c r="CH13" s="176">
        <f t="shared" si="72"/>
        <v>42347</v>
      </c>
      <c r="CI13" s="177">
        <f t="shared" ca="1" si="57"/>
        <v>0</v>
      </c>
      <c r="CJ13" s="177">
        <f t="shared" ca="1" si="58"/>
        <v>0</v>
      </c>
      <c r="CK13" s="171">
        <f t="shared" ca="1" si="59"/>
        <v>0</v>
      </c>
    </row>
    <row r="14" spans="2:89" ht="21" customHeight="1" x14ac:dyDescent="0.25">
      <c r="B14" s="50">
        <v>11</v>
      </c>
      <c r="C14" s="51">
        <f>Jan!B18</f>
        <v>42014</v>
      </c>
      <c r="D14" s="52" t="str">
        <f t="shared" ca="1" si="0"/>
        <v/>
      </c>
      <c r="E14" s="53" t="str">
        <f t="shared" si="1"/>
        <v/>
      </c>
      <c r="F14" s="54">
        <f t="shared" si="73"/>
        <v>42045</v>
      </c>
      <c r="G14" s="52" t="str">
        <f t="shared" ca="1" si="2"/>
        <v/>
      </c>
      <c r="H14" s="53" t="str">
        <f t="shared" si="3"/>
        <v/>
      </c>
      <c r="I14" s="51">
        <f>Mrz!B18</f>
        <v>42073</v>
      </c>
      <c r="J14" s="52" t="str">
        <f t="shared" ca="1" si="4"/>
        <v/>
      </c>
      <c r="K14" s="53" t="str">
        <f t="shared" si="5"/>
        <v/>
      </c>
      <c r="L14" s="54">
        <f>Apr!B18</f>
        <v>42104</v>
      </c>
      <c r="M14" s="52" t="str">
        <f t="shared" ca="1" si="6"/>
        <v/>
      </c>
      <c r="N14" s="53" t="str">
        <f t="shared" si="7"/>
        <v/>
      </c>
      <c r="O14" s="51">
        <f>Mai!B18</f>
        <v>42134</v>
      </c>
      <c r="P14" s="52" t="str">
        <f t="shared" ca="1" si="8"/>
        <v/>
      </c>
      <c r="Q14" s="53" t="str">
        <f t="shared" si="9"/>
        <v/>
      </c>
      <c r="R14" s="54">
        <f>Jun!B18</f>
        <v>42165</v>
      </c>
      <c r="S14" s="52" t="str">
        <f t="shared" ca="1" si="10"/>
        <v/>
      </c>
      <c r="T14" s="53" t="str">
        <f t="shared" si="11"/>
        <v/>
      </c>
      <c r="U14" s="51">
        <f>Jul!B18</f>
        <v>42195</v>
      </c>
      <c r="V14" s="52" t="str">
        <f t="shared" ca="1" si="12"/>
        <v/>
      </c>
      <c r="W14" s="53" t="str">
        <f t="shared" si="13"/>
        <v/>
      </c>
      <c r="X14" s="54">
        <f>Aug!B18</f>
        <v>42226</v>
      </c>
      <c r="Y14" s="52" t="str">
        <f t="shared" ca="1" si="14"/>
        <v/>
      </c>
      <c r="Z14" s="53" t="str">
        <f t="shared" si="15"/>
        <v/>
      </c>
      <c r="AA14" s="51">
        <f>Sep!B18</f>
        <v>42257</v>
      </c>
      <c r="AB14" s="52" t="str">
        <f t="shared" ca="1" si="16"/>
        <v/>
      </c>
      <c r="AC14" s="53" t="str">
        <f t="shared" si="17"/>
        <v/>
      </c>
      <c r="AD14" s="54">
        <f>Okt!B18</f>
        <v>42287</v>
      </c>
      <c r="AE14" s="52" t="str">
        <f t="shared" ca="1" si="18"/>
        <v/>
      </c>
      <c r="AF14" s="53" t="str">
        <f t="shared" si="19"/>
        <v/>
      </c>
      <c r="AG14" s="51">
        <f>Nov!B18</f>
        <v>42318</v>
      </c>
      <c r="AH14" s="52" t="str">
        <f t="shared" ca="1" si="20"/>
        <v/>
      </c>
      <c r="AI14" s="53" t="str">
        <f t="shared" si="21"/>
        <v/>
      </c>
      <c r="AJ14" s="51">
        <f>Dez!B18</f>
        <v>42348</v>
      </c>
      <c r="AK14" s="52" t="str">
        <f t="shared" ca="1" si="22"/>
        <v/>
      </c>
      <c r="AL14" s="55" t="str">
        <f t="shared" si="23"/>
        <v/>
      </c>
      <c r="AO14" s="179">
        <f t="shared" si="60"/>
        <v>11</v>
      </c>
      <c r="AP14" s="176">
        <f t="shared" si="61"/>
        <v>42014</v>
      </c>
      <c r="AQ14" s="177">
        <f t="shared" ca="1" si="24"/>
        <v>0</v>
      </c>
      <c r="AR14" s="177">
        <f t="shared" ca="1" si="25"/>
        <v>0</v>
      </c>
      <c r="AS14" s="170">
        <f t="shared" ca="1" si="26"/>
        <v>0</v>
      </c>
      <c r="AT14" s="176">
        <f t="shared" si="62"/>
        <v>42045</v>
      </c>
      <c r="AU14" s="177">
        <f t="shared" ca="1" si="27"/>
        <v>0</v>
      </c>
      <c r="AV14" s="177">
        <f t="shared" ca="1" si="28"/>
        <v>0</v>
      </c>
      <c r="AW14" s="170">
        <f t="shared" ca="1" si="29"/>
        <v>0</v>
      </c>
      <c r="AX14" s="176">
        <f t="shared" si="63"/>
        <v>42073</v>
      </c>
      <c r="AY14" s="177">
        <f t="shared" ca="1" si="30"/>
        <v>0</v>
      </c>
      <c r="AZ14" s="177">
        <f t="shared" ca="1" si="31"/>
        <v>0</v>
      </c>
      <c r="BA14" s="170">
        <f t="shared" ca="1" si="32"/>
        <v>0</v>
      </c>
      <c r="BB14" s="176">
        <f t="shared" si="64"/>
        <v>42104</v>
      </c>
      <c r="BC14" s="177">
        <f t="shared" ca="1" si="33"/>
        <v>0</v>
      </c>
      <c r="BD14" s="177">
        <f t="shared" ca="1" si="34"/>
        <v>0</v>
      </c>
      <c r="BE14" s="170">
        <f t="shared" ca="1" si="35"/>
        <v>0</v>
      </c>
      <c r="BF14" s="176">
        <f t="shared" si="65"/>
        <v>42134</v>
      </c>
      <c r="BG14" s="177">
        <f t="shared" ca="1" si="36"/>
        <v>0</v>
      </c>
      <c r="BH14" s="177">
        <f t="shared" ca="1" si="37"/>
        <v>0</v>
      </c>
      <c r="BI14" s="170">
        <f t="shared" ca="1" si="38"/>
        <v>0</v>
      </c>
      <c r="BJ14" s="176">
        <f t="shared" si="66"/>
        <v>42165</v>
      </c>
      <c r="BK14" s="177">
        <f t="shared" ca="1" si="39"/>
        <v>0</v>
      </c>
      <c r="BL14" s="177">
        <f t="shared" ca="1" si="40"/>
        <v>0</v>
      </c>
      <c r="BM14" s="170">
        <f t="shared" ca="1" si="41"/>
        <v>0</v>
      </c>
      <c r="BN14" s="176">
        <f t="shared" si="67"/>
        <v>42195</v>
      </c>
      <c r="BO14" s="177">
        <f t="shared" ca="1" si="42"/>
        <v>0</v>
      </c>
      <c r="BP14" s="177">
        <f t="shared" ca="1" si="43"/>
        <v>0</v>
      </c>
      <c r="BQ14" s="170">
        <f t="shared" ca="1" si="44"/>
        <v>0</v>
      </c>
      <c r="BR14" s="176">
        <f t="shared" si="68"/>
        <v>42226</v>
      </c>
      <c r="BS14" s="177">
        <f t="shared" ca="1" si="45"/>
        <v>0</v>
      </c>
      <c r="BT14" s="177">
        <f t="shared" ca="1" si="46"/>
        <v>0</v>
      </c>
      <c r="BU14" s="170">
        <f t="shared" ca="1" si="47"/>
        <v>0</v>
      </c>
      <c r="BV14" s="176">
        <f t="shared" si="69"/>
        <v>42257</v>
      </c>
      <c r="BW14" s="177">
        <f t="shared" ca="1" si="48"/>
        <v>0</v>
      </c>
      <c r="BX14" s="177">
        <f t="shared" ca="1" si="49"/>
        <v>0</v>
      </c>
      <c r="BY14" s="170">
        <f t="shared" ca="1" si="50"/>
        <v>0</v>
      </c>
      <c r="BZ14" s="176">
        <f t="shared" si="70"/>
        <v>42287</v>
      </c>
      <c r="CA14" s="177">
        <f t="shared" ca="1" si="51"/>
        <v>0</v>
      </c>
      <c r="CB14" s="177">
        <f t="shared" ca="1" si="52"/>
        <v>0</v>
      </c>
      <c r="CC14" s="170">
        <f t="shared" ca="1" si="53"/>
        <v>0</v>
      </c>
      <c r="CD14" s="176">
        <f t="shared" si="71"/>
        <v>42318</v>
      </c>
      <c r="CE14" s="177">
        <f t="shared" ca="1" si="54"/>
        <v>0</v>
      </c>
      <c r="CF14" s="177">
        <f t="shared" ca="1" si="55"/>
        <v>0</v>
      </c>
      <c r="CG14" s="170">
        <f t="shared" ca="1" si="56"/>
        <v>0</v>
      </c>
      <c r="CH14" s="176">
        <f t="shared" si="72"/>
        <v>42348</v>
      </c>
      <c r="CI14" s="177">
        <f t="shared" ca="1" si="57"/>
        <v>0</v>
      </c>
      <c r="CJ14" s="177">
        <f t="shared" ca="1" si="58"/>
        <v>0</v>
      </c>
      <c r="CK14" s="171">
        <f t="shared" ca="1" si="59"/>
        <v>0</v>
      </c>
    </row>
    <row r="15" spans="2:89" ht="21" customHeight="1" x14ac:dyDescent="0.25">
      <c r="B15" s="50">
        <v>12</v>
      </c>
      <c r="C15" s="51">
        <f>Jan!B19</f>
        <v>42015</v>
      </c>
      <c r="D15" s="52" t="str">
        <f t="shared" ca="1" si="0"/>
        <v/>
      </c>
      <c r="E15" s="53" t="str">
        <f t="shared" si="1"/>
        <v/>
      </c>
      <c r="F15" s="54">
        <f t="shared" si="73"/>
        <v>42046</v>
      </c>
      <c r="G15" s="52" t="str">
        <f t="shared" ca="1" si="2"/>
        <v/>
      </c>
      <c r="H15" s="53" t="str">
        <f t="shared" si="3"/>
        <v/>
      </c>
      <c r="I15" s="51">
        <f>Mrz!B19</f>
        <v>42074</v>
      </c>
      <c r="J15" s="52" t="str">
        <f t="shared" ca="1" si="4"/>
        <v/>
      </c>
      <c r="K15" s="53" t="str">
        <f t="shared" si="5"/>
        <v/>
      </c>
      <c r="L15" s="54">
        <f>Apr!B19</f>
        <v>42105</v>
      </c>
      <c r="M15" s="52" t="str">
        <f t="shared" ca="1" si="6"/>
        <v/>
      </c>
      <c r="N15" s="53" t="str">
        <f t="shared" si="7"/>
        <v/>
      </c>
      <c r="O15" s="51">
        <f>Mai!B19</f>
        <v>42135</v>
      </c>
      <c r="P15" s="52" t="str">
        <f t="shared" ca="1" si="8"/>
        <v/>
      </c>
      <c r="Q15" s="53" t="str">
        <f t="shared" si="9"/>
        <v/>
      </c>
      <c r="R15" s="54">
        <f>Jun!B19</f>
        <v>42166</v>
      </c>
      <c r="S15" s="52" t="str">
        <f t="shared" ca="1" si="10"/>
        <v/>
      </c>
      <c r="T15" s="53" t="str">
        <f t="shared" si="11"/>
        <v/>
      </c>
      <c r="U15" s="51">
        <f>Jul!B19</f>
        <v>42196</v>
      </c>
      <c r="V15" s="52" t="str">
        <f t="shared" ca="1" si="12"/>
        <v/>
      </c>
      <c r="W15" s="53" t="str">
        <f t="shared" si="13"/>
        <v/>
      </c>
      <c r="X15" s="54">
        <f>Aug!B19</f>
        <v>42227</v>
      </c>
      <c r="Y15" s="52" t="str">
        <f t="shared" ca="1" si="14"/>
        <v/>
      </c>
      <c r="Z15" s="53" t="str">
        <f t="shared" si="15"/>
        <v/>
      </c>
      <c r="AA15" s="51">
        <f>Sep!B19</f>
        <v>42258</v>
      </c>
      <c r="AB15" s="52" t="str">
        <f t="shared" ca="1" si="16"/>
        <v/>
      </c>
      <c r="AC15" s="53" t="str">
        <f t="shared" si="17"/>
        <v/>
      </c>
      <c r="AD15" s="54">
        <f>Okt!B19</f>
        <v>42288</v>
      </c>
      <c r="AE15" s="52" t="str">
        <f t="shared" ca="1" si="18"/>
        <v/>
      </c>
      <c r="AF15" s="53" t="str">
        <f t="shared" si="19"/>
        <v/>
      </c>
      <c r="AG15" s="51">
        <f>Nov!B19</f>
        <v>42319</v>
      </c>
      <c r="AH15" s="52" t="str">
        <f t="shared" ca="1" si="20"/>
        <v/>
      </c>
      <c r="AI15" s="53" t="str">
        <f t="shared" si="21"/>
        <v/>
      </c>
      <c r="AJ15" s="51">
        <f>Dez!B19</f>
        <v>42349</v>
      </c>
      <c r="AK15" s="52" t="str">
        <f t="shared" ca="1" si="22"/>
        <v/>
      </c>
      <c r="AL15" s="55" t="str">
        <f t="shared" si="23"/>
        <v/>
      </c>
      <c r="AO15" s="179">
        <f t="shared" si="60"/>
        <v>12</v>
      </c>
      <c r="AP15" s="176">
        <f t="shared" si="61"/>
        <v>42015</v>
      </c>
      <c r="AQ15" s="177">
        <f t="shared" ca="1" si="24"/>
        <v>0</v>
      </c>
      <c r="AR15" s="177">
        <f t="shared" ca="1" si="25"/>
        <v>0</v>
      </c>
      <c r="AS15" s="170">
        <f t="shared" ca="1" si="26"/>
        <v>0</v>
      </c>
      <c r="AT15" s="176">
        <f t="shared" si="62"/>
        <v>42046</v>
      </c>
      <c r="AU15" s="177">
        <f t="shared" ca="1" si="27"/>
        <v>0</v>
      </c>
      <c r="AV15" s="177">
        <f t="shared" ca="1" si="28"/>
        <v>0</v>
      </c>
      <c r="AW15" s="170">
        <f t="shared" ca="1" si="29"/>
        <v>0</v>
      </c>
      <c r="AX15" s="176">
        <f t="shared" si="63"/>
        <v>42074</v>
      </c>
      <c r="AY15" s="177">
        <f t="shared" ca="1" si="30"/>
        <v>0</v>
      </c>
      <c r="AZ15" s="177">
        <f t="shared" ca="1" si="31"/>
        <v>0</v>
      </c>
      <c r="BA15" s="170">
        <f t="shared" ca="1" si="32"/>
        <v>0</v>
      </c>
      <c r="BB15" s="176">
        <f t="shared" si="64"/>
        <v>42105</v>
      </c>
      <c r="BC15" s="177">
        <f t="shared" ca="1" si="33"/>
        <v>0</v>
      </c>
      <c r="BD15" s="177">
        <f t="shared" ca="1" si="34"/>
        <v>0</v>
      </c>
      <c r="BE15" s="170">
        <f t="shared" ca="1" si="35"/>
        <v>0</v>
      </c>
      <c r="BF15" s="176">
        <f t="shared" si="65"/>
        <v>42135</v>
      </c>
      <c r="BG15" s="177">
        <f t="shared" ca="1" si="36"/>
        <v>0</v>
      </c>
      <c r="BH15" s="177">
        <f t="shared" ca="1" si="37"/>
        <v>0</v>
      </c>
      <c r="BI15" s="170">
        <f t="shared" ca="1" si="38"/>
        <v>0</v>
      </c>
      <c r="BJ15" s="176">
        <f t="shared" si="66"/>
        <v>42166</v>
      </c>
      <c r="BK15" s="177">
        <f t="shared" ca="1" si="39"/>
        <v>0</v>
      </c>
      <c r="BL15" s="177">
        <f t="shared" ca="1" si="40"/>
        <v>0</v>
      </c>
      <c r="BM15" s="170">
        <f t="shared" ca="1" si="41"/>
        <v>0</v>
      </c>
      <c r="BN15" s="176">
        <f t="shared" si="67"/>
        <v>42196</v>
      </c>
      <c r="BO15" s="177">
        <f t="shared" ca="1" si="42"/>
        <v>0</v>
      </c>
      <c r="BP15" s="177">
        <f t="shared" ca="1" si="43"/>
        <v>0</v>
      </c>
      <c r="BQ15" s="170">
        <f t="shared" ca="1" si="44"/>
        <v>0</v>
      </c>
      <c r="BR15" s="176">
        <f t="shared" si="68"/>
        <v>42227</v>
      </c>
      <c r="BS15" s="177">
        <f t="shared" ca="1" si="45"/>
        <v>0</v>
      </c>
      <c r="BT15" s="177">
        <f t="shared" ca="1" si="46"/>
        <v>0</v>
      </c>
      <c r="BU15" s="170">
        <f t="shared" ca="1" si="47"/>
        <v>0</v>
      </c>
      <c r="BV15" s="176">
        <f t="shared" si="69"/>
        <v>42258</v>
      </c>
      <c r="BW15" s="177">
        <f t="shared" ca="1" si="48"/>
        <v>0</v>
      </c>
      <c r="BX15" s="177">
        <f t="shared" ca="1" si="49"/>
        <v>0</v>
      </c>
      <c r="BY15" s="170">
        <f t="shared" ca="1" si="50"/>
        <v>0</v>
      </c>
      <c r="BZ15" s="176">
        <f t="shared" si="70"/>
        <v>42288</v>
      </c>
      <c r="CA15" s="177">
        <f t="shared" ca="1" si="51"/>
        <v>0</v>
      </c>
      <c r="CB15" s="177">
        <f t="shared" ca="1" si="52"/>
        <v>0</v>
      </c>
      <c r="CC15" s="170">
        <f t="shared" ca="1" si="53"/>
        <v>0</v>
      </c>
      <c r="CD15" s="176">
        <f t="shared" si="71"/>
        <v>42319</v>
      </c>
      <c r="CE15" s="177">
        <f t="shared" ca="1" si="54"/>
        <v>0</v>
      </c>
      <c r="CF15" s="177">
        <f t="shared" ca="1" si="55"/>
        <v>0</v>
      </c>
      <c r="CG15" s="170">
        <f t="shared" ca="1" si="56"/>
        <v>0</v>
      </c>
      <c r="CH15" s="176">
        <f t="shared" si="72"/>
        <v>42349</v>
      </c>
      <c r="CI15" s="177">
        <f t="shared" ca="1" si="57"/>
        <v>0</v>
      </c>
      <c r="CJ15" s="177">
        <f t="shared" ca="1" si="58"/>
        <v>0</v>
      </c>
      <c r="CK15" s="171">
        <f t="shared" ca="1" si="59"/>
        <v>0</v>
      </c>
    </row>
    <row r="16" spans="2:89" ht="21" customHeight="1" x14ac:dyDescent="0.25">
      <c r="B16" s="50">
        <v>13</v>
      </c>
      <c r="C16" s="51">
        <f>Jan!B20</f>
        <v>42016</v>
      </c>
      <c r="D16" s="52" t="str">
        <f t="shared" ca="1" si="0"/>
        <v/>
      </c>
      <c r="E16" s="53" t="str">
        <f t="shared" si="1"/>
        <v/>
      </c>
      <c r="F16" s="54">
        <f t="shared" si="73"/>
        <v>42047</v>
      </c>
      <c r="G16" s="52" t="str">
        <f t="shared" ca="1" si="2"/>
        <v/>
      </c>
      <c r="H16" s="53" t="str">
        <f t="shared" si="3"/>
        <v/>
      </c>
      <c r="I16" s="51">
        <f>Mrz!B20</f>
        <v>42075</v>
      </c>
      <c r="J16" s="52" t="str">
        <f t="shared" ca="1" si="4"/>
        <v/>
      </c>
      <c r="K16" s="53" t="str">
        <f t="shared" si="5"/>
        <v/>
      </c>
      <c r="L16" s="54">
        <f>Apr!B20</f>
        <v>42106</v>
      </c>
      <c r="M16" s="52" t="str">
        <f t="shared" ca="1" si="6"/>
        <v/>
      </c>
      <c r="N16" s="53" t="str">
        <f t="shared" si="7"/>
        <v/>
      </c>
      <c r="O16" s="51">
        <f>Mai!B20</f>
        <v>42136</v>
      </c>
      <c r="P16" s="52" t="str">
        <f t="shared" ca="1" si="8"/>
        <v/>
      </c>
      <c r="Q16" s="53" t="str">
        <f t="shared" si="9"/>
        <v/>
      </c>
      <c r="R16" s="54">
        <f>Jun!B20</f>
        <v>42167</v>
      </c>
      <c r="S16" s="52" t="str">
        <f t="shared" ca="1" si="10"/>
        <v/>
      </c>
      <c r="T16" s="53" t="str">
        <f t="shared" si="11"/>
        <v/>
      </c>
      <c r="U16" s="51">
        <f>Jul!B20</f>
        <v>42197</v>
      </c>
      <c r="V16" s="52" t="str">
        <f t="shared" ca="1" si="12"/>
        <v/>
      </c>
      <c r="W16" s="53" t="str">
        <f t="shared" si="13"/>
        <v/>
      </c>
      <c r="X16" s="54">
        <f>Aug!B20</f>
        <v>42228</v>
      </c>
      <c r="Y16" s="52" t="str">
        <f t="shared" ca="1" si="14"/>
        <v/>
      </c>
      <c r="Z16" s="53" t="str">
        <f t="shared" si="15"/>
        <v/>
      </c>
      <c r="AA16" s="51">
        <f>Sep!B20</f>
        <v>42259</v>
      </c>
      <c r="AB16" s="52" t="str">
        <f t="shared" ca="1" si="16"/>
        <v/>
      </c>
      <c r="AC16" s="53" t="str">
        <f t="shared" si="17"/>
        <v/>
      </c>
      <c r="AD16" s="54">
        <f>Okt!B20</f>
        <v>42289</v>
      </c>
      <c r="AE16" s="52" t="str">
        <f t="shared" ca="1" si="18"/>
        <v/>
      </c>
      <c r="AF16" s="53" t="str">
        <f t="shared" si="19"/>
        <v/>
      </c>
      <c r="AG16" s="51">
        <f>Nov!B20</f>
        <v>42320</v>
      </c>
      <c r="AH16" s="52" t="str">
        <f t="shared" ca="1" si="20"/>
        <v/>
      </c>
      <c r="AI16" s="53" t="str">
        <f t="shared" si="21"/>
        <v/>
      </c>
      <c r="AJ16" s="51">
        <f>Dez!B20</f>
        <v>42350</v>
      </c>
      <c r="AK16" s="52" t="str">
        <f t="shared" ca="1" si="22"/>
        <v/>
      </c>
      <c r="AL16" s="55" t="str">
        <f t="shared" si="23"/>
        <v/>
      </c>
      <c r="AO16" s="179">
        <f t="shared" si="60"/>
        <v>13</v>
      </c>
      <c r="AP16" s="176">
        <f t="shared" si="61"/>
        <v>42016</v>
      </c>
      <c r="AQ16" s="177">
        <f t="shared" ca="1" si="24"/>
        <v>0</v>
      </c>
      <c r="AR16" s="177">
        <f t="shared" ca="1" si="25"/>
        <v>0</v>
      </c>
      <c r="AS16" s="170">
        <f t="shared" ca="1" si="26"/>
        <v>0</v>
      </c>
      <c r="AT16" s="176">
        <f t="shared" si="62"/>
        <v>42047</v>
      </c>
      <c r="AU16" s="177">
        <f t="shared" ca="1" si="27"/>
        <v>0</v>
      </c>
      <c r="AV16" s="177">
        <f t="shared" ca="1" si="28"/>
        <v>0</v>
      </c>
      <c r="AW16" s="170">
        <f t="shared" ca="1" si="29"/>
        <v>0</v>
      </c>
      <c r="AX16" s="176">
        <f t="shared" si="63"/>
        <v>42075</v>
      </c>
      <c r="AY16" s="177">
        <f t="shared" ca="1" si="30"/>
        <v>0</v>
      </c>
      <c r="AZ16" s="177">
        <f t="shared" ca="1" si="31"/>
        <v>0</v>
      </c>
      <c r="BA16" s="170">
        <f t="shared" ca="1" si="32"/>
        <v>0</v>
      </c>
      <c r="BB16" s="176">
        <f t="shared" si="64"/>
        <v>42106</v>
      </c>
      <c r="BC16" s="177">
        <f t="shared" ca="1" si="33"/>
        <v>0</v>
      </c>
      <c r="BD16" s="177">
        <f t="shared" ca="1" si="34"/>
        <v>0</v>
      </c>
      <c r="BE16" s="170">
        <f t="shared" ca="1" si="35"/>
        <v>0</v>
      </c>
      <c r="BF16" s="176">
        <f t="shared" si="65"/>
        <v>42136</v>
      </c>
      <c r="BG16" s="177">
        <f t="shared" ca="1" si="36"/>
        <v>0</v>
      </c>
      <c r="BH16" s="177">
        <f t="shared" ca="1" si="37"/>
        <v>0</v>
      </c>
      <c r="BI16" s="170">
        <f t="shared" ca="1" si="38"/>
        <v>0</v>
      </c>
      <c r="BJ16" s="176">
        <f t="shared" si="66"/>
        <v>42167</v>
      </c>
      <c r="BK16" s="177">
        <f t="shared" ca="1" si="39"/>
        <v>0</v>
      </c>
      <c r="BL16" s="177">
        <f t="shared" ca="1" si="40"/>
        <v>0</v>
      </c>
      <c r="BM16" s="170">
        <f t="shared" ca="1" si="41"/>
        <v>0</v>
      </c>
      <c r="BN16" s="176">
        <f t="shared" si="67"/>
        <v>42197</v>
      </c>
      <c r="BO16" s="177">
        <f t="shared" ca="1" si="42"/>
        <v>0</v>
      </c>
      <c r="BP16" s="177">
        <f t="shared" ca="1" si="43"/>
        <v>0</v>
      </c>
      <c r="BQ16" s="170">
        <f t="shared" ca="1" si="44"/>
        <v>0</v>
      </c>
      <c r="BR16" s="176">
        <f t="shared" si="68"/>
        <v>42228</v>
      </c>
      <c r="BS16" s="177">
        <f t="shared" ca="1" si="45"/>
        <v>0</v>
      </c>
      <c r="BT16" s="177">
        <f t="shared" ca="1" si="46"/>
        <v>0</v>
      </c>
      <c r="BU16" s="170">
        <f t="shared" ca="1" si="47"/>
        <v>0</v>
      </c>
      <c r="BV16" s="176">
        <f t="shared" si="69"/>
        <v>42259</v>
      </c>
      <c r="BW16" s="177">
        <f t="shared" ca="1" si="48"/>
        <v>0</v>
      </c>
      <c r="BX16" s="177">
        <f t="shared" ca="1" si="49"/>
        <v>0</v>
      </c>
      <c r="BY16" s="170">
        <f t="shared" ca="1" si="50"/>
        <v>0</v>
      </c>
      <c r="BZ16" s="176">
        <f t="shared" si="70"/>
        <v>42289</v>
      </c>
      <c r="CA16" s="177">
        <f t="shared" ca="1" si="51"/>
        <v>0</v>
      </c>
      <c r="CB16" s="177">
        <f t="shared" ca="1" si="52"/>
        <v>0</v>
      </c>
      <c r="CC16" s="170">
        <f t="shared" ca="1" si="53"/>
        <v>0</v>
      </c>
      <c r="CD16" s="176">
        <f t="shared" si="71"/>
        <v>42320</v>
      </c>
      <c r="CE16" s="177">
        <f t="shared" ca="1" si="54"/>
        <v>0</v>
      </c>
      <c r="CF16" s="177">
        <f t="shared" ca="1" si="55"/>
        <v>0</v>
      </c>
      <c r="CG16" s="170">
        <f t="shared" ca="1" si="56"/>
        <v>0</v>
      </c>
      <c r="CH16" s="176">
        <f t="shared" si="72"/>
        <v>42350</v>
      </c>
      <c r="CI16" s="177">
        <f t="shared" ca="1" si="57"/>
        <v>0</v>
      </c>
      <c r="CJ16" s="177">
        <f t="shared" ca="1" si="58"/>
        <v>0</v>
      </c>
      <c r="CK16" s="171">
        <f t="shared" ca="1" si="59"/>
        <v>0</v>
      </c>
    </row>
    <row r="17" spans="2:89" ht="21" customHeight="1" x14ac:dyDescent="0.25">
      <c r="B17" s="50">
        <v>14</v>
      </c>
      <c r="C17" s="51">
        <f>Jan!B21</f>
        <v>42017</v>
      </c>
      <c r="D17" s="52" t="str">
        <f t="shared" ca="1" si="0"/>
        <v/>
      </c>
      <c r="E17" s="53" t="str">
        <f t="shared" si="1"/>
        <v/>
      </c>
      <c r="F17" s="54">
        <f t="shared" si="73"/>
        <v>42048</v>
      </c>
      <c r="G17" s="52" t="str">
        <f t="shared" ca="1" si="2"/>
        <v/>
      </c>
      <c r="H17" s="53" t="str">
        <f t="shared" si="3"/>
        <v/>
      </c>
      <c r="I17" s="51">
        <f>Mrz!B21</f>
        <v>42076</v>
      </c>
      <c r="J17" s="52" t="str">
        <f t="shared" ca="1" si="4"/>
        <v/>
      </c>
      <c r="K17" s="53" t="str">
        <f t="shared" si="5"/>
        <v/>
      </c>
      <c r="L17" s="54">
        <f>Apr!B21</f>
        <v>42107</v>
      </c>
      <c r="M17" s="52" t="str">
        <f t="shared" ca="1" si="6"/>
        <v/>
      </c>
      <c r="N17" s="53" t="str">
        <f t="shared" si="7"/>
        <v/>
      </c>
      <c r="O17" s="51">
        <f>Mai!B21</f>
        <v>42137</v>
      </c>
      <c r="P17" s="52" t="str">
        <f t="shared" ca="1" si="8"/>
        <v/>
      </c>
      <c r="Q17" s="53" t="str">
        <f t="shared" si="9"/>
        <v/>
      </c>
      <c r="R17" s="54">
        <f>Jun!B21</f>
        <v>42168</v>
      </c>
      <c r="S17" s="52" t="str">
        <f t="shared" ca="1" si="10"/>
        <v/>
      </c>
      <c r="T17" s="53" t="str">
        <f t="shared" si="11"/>
        <v/>
      </c>
      <c r="U17" s="51">
        <f>Jul!B21</f>
        <v>42198</v>
      </c>
      <c r="V17" s="52" t="str">
        <f t="shared" ca="1" si="12"/>
        <v/>
      </c>
      <c r="W17" s="53" t="str">
        <f t="shared" si="13"/>
        <v/>
      </c>
      <c r="X17" s="54">
        <f>Aug!B21</f>
        <v>42229</v>
      </c>
      <c r="Y17" s="52" t="str">
        <f t="shared" ca="1" si="14"/>
        <v/>
      </c>
      <c r="Z17" s="53" t="str">
        <f t="shared" si="15"/>
        <v/>
      </c>
      <c r="AA17" s="51">
        <f>Sep!B21</f>
        <v>42260</v>
      </c>
      <c r="AB17" s="52" t="str">
        <f t="shared" ca="1" si="16"/>
        <v/>
      </c>
      <c r="AC17" s="53" t="str">
        <f t="shared" si="17"/>
        <v/>
      </c>
      <c r="AD17" s="54">
        <f>Okt!B21</f>
        <v>42290</v>
      </c>
      <c r="AE17" s="52" t="str">
        <f t="shared" ca="1" si="18"/>
        <v/>
      </c>
      <c r="AF17" s="53" t="str">
        <f t="shared" si="19"/>
        <v/>
      </c>
      <c r="AG17" s="51">
        <f>Nov!B21</f>
        <v>42321</v>
      </c>
      <c r="AH17" s="52" t="str">
        <f t="shared" ca="1" si="20"/>
        <v/>
      </c>
      <c r="AI17" s="53" t="str">
        <f t="shared" si="21"/>
        <v/>
      </c>
      <c r="AJ17" s="51">
        <f>Dez!B21</f>
        <v>42351</v>
      </c>
      <c r="AK17" s="52" t="str">
        <f t="shared" ca="1" si="22"/>
        <v/>
      </c>
      <c r="AL17" s="55" t="str">
        <f t="shared" si="23"/>
        <v/>
      </c>
      <c r="AO17" s="179">
        <f t="shared" si="60"/>
        <v>14</v>
      </c>
      <c r="AP17" s="176">
        <f t="shared" si="61"/>
        <v>42017</v>
      </c>
      <c r="AQ17" s="177">
        <f t="shared" ca="1" si="24"/>
        <v>0</v>
      </c>
      <c r="AR17" s="177">
        <f t="shared" ca="1" si="25"/>
        <v>0</v>
      </c>
      <c r="AS17" s="170">
        <f t="shared" ca="1" si="26"/>
        <v>0</v>
      </c>
      <c r="AT17" s="176">
        <f t="shared" si="62"/>
        <v>42048</v>
      </c>
      <c r="AU17" s="177">
        <f t="shared" ca="1" si="27"/>
        <v>0</v>
      </c>
      <c r="AV17" s="177">
        <f t="shared" ca="1" si="28"/>
        <v>0</v>
      </c>
      <c r="AW17" s="170">
        <f t="shared" ca="1" si="29"/>
        <v>0</v>
      </c>
      <c r="AX17" s="176">
        <f t="shared" si="63"/>
        <v>42076</v>
      </c>
      <c r="AY17" s="177">
        <f t="shared" ca="1" si="30"/>
        <v>0</v>
      </c>
      <c r="AZ17" s="177">
        <f t="shared" ca="1" si="31"/>
        <v>0</v>
      </c>
      <c r="BA17" s="170">
        <f t="shared" ca="1" si="32"/>
        <v>0</v>
      </c>
      <c r="BB17" s="176">
        <f t="shared" si="64"/>
        <v>42107</v>
      </c>
      <c r="BC17" s="177">
        <f t="shared" ca="1" si="33"/>
        <v>0</v>
      </c>
      <c r="BD17" s="177">
        <f t="shared" ca="1" si="34"/>
        <v>0</v>
      </c>
      <c r="BE17" s="170">
        <f t="shared" ca="1" si="35"/>
        <v>0</v>
      </c>
      <c r="BF17" s="176">
        <f t="shared" si="65"/>
        <v>42137</v>
      </c>
      <c r="BG17" s="177">
        <f t="shared" ca="1" si="36"/>
        <v>0</v>
      </c>
      <c r="BH17" s="177">
        <f t="shared" ca="1" si="37"/>
        <v>0</v>
      </c>
      <c r="BI17" s="170">
        <f t="shared" ca="1" si="38"/>
        <v>0</v>
      </c>
      <c r="BJ17" s="176">
        <f t="shared" si="66"/>
        <v>42168</v>
      </c>
      <c r="BK17" s="177">
        <f t="shared" ca="1" si="39"/>
        <v>0</v>
      </c>
      <c r="BL17" s="177">
        <f t="shared" ca="1" si="40"/>
        <v>0</v>
      </c>
      <c r="BM17" s="170">
        <f t="shared" ca="1" si="41"/>
        <v>0</v>
      </c>
      <c r="BN17" s="176">
        <f t="shared" si="67"/>
        <v>42198</v>
      </c>
      <c r="BO17" s="177">
        <f t="shared" ca="1" si="42"/>
        <v>0</v>
      </c>
      <c r="BP17" s="177">
        <f t="shared" ca="1" si="43"/>
        <v>0</v>
      </c>
      <c r="BQ17" s="170">
        <f t="shared" ca="1" si="44"/>
        <v>0</v>
      </c>
      <c r="BR17" s="176">
        <f t="shared" si="68"/>
        <v>42229</v>
      </c>
      <c r="BS17" s="177">
        <f t="shared" ca="1" si="45"/>
        <v>0</v>
      </c>
      <c r="BT17" s="177">
        <f t="shared" ca="1" si="46"/>
        <v>0</v>
      </c>
      <c r="BU17" s="170">
        <f t="shared" ca="1" si="47"/>
        <v>0</v>
      </c>
      <c r="BV17" s="176">
        <f t="shared" si="69"/>
        <v>42260</v>
      </c>
      <c r="BW17" s="177">
        <f t="shared" ca="1" si="48"/>
        <v>0</v>
      </c>
      <c r="BX17" s="177">
        <f t="shared" ca="1" si="49"/>
        <v>0</v>
      </c>
      <c r="BY17" s="170">
        <f t="shared" ca="1" si="50"/>
        <v>0</v>
      </c>
      <c r="BZ17" s="176">
        <f t="shared" si="70"/>
        <v>42290</v>
      </c>
      <c r="CA17" s="177">
        <f t="shared" ca="1" si="51"/>
        <v>0</v>
      </c>
      <c r="CB17" s="177">
        <f t="shared" ca="1" si="52"/>
        <v>0</v>
      </c>
      <c r="CC17" s="170">
        <f t="shared" ca="1" si="53"/>
        <v>0</v>
      </c>
      <c r="CD17" s="176">
        <f t="shared" si="71"/>
        <v>42321</v>
      </c>
      <c r="CE17" s="177">
        <f t="shared" ca="1" si="54"/>
        <v>0</v>
      </c>
      <c r="CF17" s="177">
        <f t="shared" ca="1" si="55"/>
        <v>0</v>
      </c>
      <c r="CG17" s="170">
        <f t="shared" ca="1" si="56"/>
        <v>0</v>
      </c>
      <c r="CH17" s="176">
        <f t="shared" si="72"/>
        <v>42351</v>
      </c>
      <c r="CI17" s="177">
        <f t="shared" ca="1" si="57"/>
        <v>0</v>
      </c>
      <c r="CJ17" s="177">
        <f t="shared" ca="1" si="58"/>
        <v>0</v>
      </c>
      <c r="CK17" s="171">
        <f t="shared" ca="1" si="59"/>
        <v>0</v>
      </c>
    </row>
    <row r="18" spans="2:89" ht="21" customHeight="1" x14ac:dyDescent="0.25">
      <c r="B18" s="50">
        <v>15</v>
      </c>
      <c r="C18" s="51">
        <f>Jan!B22</f>
        <v>42018</v>
      </c>
      <c r="D18" s="52" t="str">
        <f t="shared" ca="1" si="0"/>
        <v/>
      </c>
      <c r="E18" s="53" t="str">
        <f t="shared" si="1"/>
        <v/>
      </c>
      <c r="F18" s="54">
        <f t="shared" si="73"/>
        <v>42049</v>
      </c>
      <c r="G18" s="52" t="str">
        <f t="shared" ca="1" si="2"/>
        <v/>
      </c>
      <c r="H18" s="53" t="str">
        <f t="shared" si="3"/>
        <v/>
      </c>
      <c r="I18" s="51">
        <f>Mrz!B22</f>
        <v>42077</v>
      </c>
      <c r="J18" s="52" t="str">
        <f t="shared" ca="1" si="4"/>
        <v/>
      </c>
      <c r="K18" s="53" t="str">
        <f t="shared" si="5"/>
        <v/>
      </c>
      <c r="L18" s="54">
        <f>Apr!B22</f>
        <v>42108</v>
      </c>
      <c r="M18" s="52" t="str">
        <f t="shared" ca="1" si="6"/>
        <v/>
      </c>
      <c r="N18" s="53" t="str">
        <f t="shared" si="7"/>
        <v/>
      </c>
      <c r="O18" s="51">
        <f>Mai!B22</f>
        <v>42138</v>
      </c>
      <c r="P18" s="52" t="str">
        <f t="shared" ca="1" si="8"/>
        <v/>
      </c>
      <c r="Q18" s="53" t="str">
        <f t="shared" si="9"/>
        <v/>
      </c>
      <c r="R18" s="54">
        <f>Jun!B22</f>
        <v>42169</v>
      </c>
      <c r="S18" s="52" t="str">
        <f t="shared" ca="1" si="10"/>
        <v/>
      </c>
      <c r="T18" s="53" t="str">
        <f t="shared" si="11"/>
        <v/>
      </c>
      <c r="U18" s="51">
        <f>Jul!B22</f>
        <v>42199</v>
      </c>
      <c r="V18" s="52" t="str">
        <f t="shared" ca="1" si="12"/>
        <v/>
      </c>
      <c r="W18" s="53" t="str">
        <f t="shared" si="13"/>
        <v/>
      </c>
      <c r="X18" s="54">
        <f>Aug!B22</f>
        <v>42230</v>
      </c>
      <c r="Y18" s="52" t="str">
        <f t="shared" ca="1" si="14"/>
        <v/>
      </c>
      <c r="Z18" s="53" t="str">
        <f t="shared" si="15"/>
        <v/>
      </c>
      <c r="AA18" s="51">
        <f>Sep!B22</f>
        <v>42261</v>
      </c>
      <c r="AB18" s="52" t="str">
        <f t="shared" ca="1" si="16"/>
        <v/>
      </c>
      <c r="AC18" s="53" t="str">
        <f t="shared" si="17"/>
        <v/>
      </c>
      <c r="AD18" s="54">
        <f>Okt!B22</f>
        <v>42291</v>
      </c>
      <c r="AE18" s="52" t="str">
        <f t="shared" ca="1" si="18"/>
        <v/>
      </c>
      <c r="AF18" s="53" t="str">
        <f t="shared" si="19"/>
        <v/>
      </c>
      <c r="AG18" s="51">
        <f>Nov!B22</f>
        <v>42322</v>
      </c>
      <c r="AH18" s="52" t="str">
        <f t="shared" ca="1" si="20"/>
        <v/>
      </c>
      <c r="AI18" s="53" t="str">
        <f t="shared" si="21"/>
        <v/>
      </c>
      <c r="AJ18" s="51">
        <f>Dez!B22</f>
        <v>42352</v>
      </c>
      <c r="AK18" s="52" t="str">
        <f t="shared" ca="1" si="22"/>
        <v/>
      </c>
      <c r="AL18" s="55" t="str">
        <f t="shared" si="23"/>
        <v/>
      </c>
      <c r="AO18" s="179">
        <f t="shared" si="60"/>
        <v>15</v>
      </c>
      <c r="AP18" s="176">
        <f t="shared" si="61"/>
        <v>42018</v>
      </c>
      <c r="AQ18" s="177">
        <f t="shared" ca="1" si="24"/>
        <v>0</v>
      </c>
      <c r="AR18" s="177">
        <f t="shared" ca="1" si="25"/>
        <v>0</v>
      </c>
      <c r="AS18" s="170">
        <f t="shared" ca="1" si="26"/>
        <v>0</v>
      </c>
      <c r="AT18" s="176">
        <f t="shared" si="62"/>
        <v>42049</v>
      </c>
      <c r="AU18" s="177">
        <f t="shared" ca="1" si="27"/>
        <v>0</v>
      </c>
      <c r="AV18" s="177">
        <f t="shared" ca="1" si="28"/>
        <v>0</v>
      </c>
      <c r="AW18" s="170">
        <f t="shared" ca="1" si="29"/>
        <v>0</v>
      </c>
      <c r="AX18" s="176">
        <f t="shared" si="63"/>
        <v>42077</v>
      </c>
      <c r="AY18" s="177">
        <f t="shared" ca="1" si="30"/>
        <v>0</v>
      </c>
      <c r="AZ18" s="177">
        <f t="shared" ca="1" si="31"/>
        <v>0</v>
      </c>
      <c r="BA18" s="170">
        <f t="shared" ca="1" si="32"/>
        <v>0</v>
      </c>
      <c r="BB18" s="176">
        <f t="shared" si="64"/>
        <v>42108</v>
      </c>
      <c r="BC18" s="177">
        <f t="shared" ca="1" si="33"/>
        <v>0</v>
      </c>
      <c r="BD18" s="177">
        <f t="shared" ca="1" si="34"/>
        <v>0</v>
      </c>
      <c r="BE18" s="170">
        <f t="shared" ca="1" si="35"/>
        <v>0</v>
      </c>
      <c r="BF18" s="176">
        <f t="shared" si="65"/>
        <v>42138</v>
      </c>
      <c r="BG18" s="177">
        <f t="shared" ca="1" si="36"/>
        <v>0</v>
      </c>
      <c r="BH18" s="177">
        <f t="shared" ca="1" si="37"/>
        <v>0</v>
      </c>
      <c r="BI18" s="170">
        <f t="shared" ca="1" si="38"/>
        <v>0</v>
      </c>
      <c r="BJ18" s="176">
        <f t="shared" si="66"/>
        <v>42169</v>
      </c>
      <c r="BK18" s="177">
        <f t="shared" ca="1" si="39"/>
        <v>0</v>
      </c>
      <c r="BL18" s="177">
        <f t="shared" ca="1" si="40"/>
        <v>0</v>
      </c>
      <c r="BM18" s="170">
        <f t="shared" ca="1" si="41"/>
        <v>0</v>
      </c>
      <c r="BN18" s="176">
        <f t="shared" si="67"/>
        <v>42199</v>
      </c>
      <c r="BO18" s="177">
        <f t="shared" ca="1" si="42"/>
        <v>0</v>
      </c>
      <c r="BP18" s="177">
        <f t="shared" ca="1" si="43"/>
        <v>0</v>
      </c>
      <c r="BQ18" s="170">
        <f t="shared" ca="1" si="44"/>
        <v>0</v>
      </c>
      <c r="BR18" s="176">
        <f t="shared" si="68"/>
        <v>42230</v>
      </c>
      <c r="BS18" s="177">
        <f t="shared" ca="1" si="45"/>
        <v>0</v>
      </c>
      <c r="BT18" s="177">
        <f t="shared" ca="1" si="46"/>
        <v>0</v>
      </c>
      <c r="BU18" s="170">
        <f t="shared" ca="1" si="47"/>
        <v>0</v>
      </c>
      <c r="BV18" s="176">
        <f t="shared" si="69"/>
        <v>42261</v>
      </c>
      <c r="BW18" s="177">
        <f t="shared" ca="1" si="48"/>
        <v>0</v>
      </c>
      <c r="BX18" s="177">
        <f t="shared" ca="1" si="49"/>
        <v>0</v>
      </c>
      <c r="BY18" s="170">
        <f t="shared" ca="1" si="50"/>
        <v>0</v>
      </c>
      <c r="BZ18" s="176">
        <f t="shared" si="70"/>
        <v>42291</v>
      </c>
      <c r="CA18" s="177">
        <f t="shared" ca="1" si="51"/>
        <v>0</v>
      </c>
      <c r="CB18" s="177">
        <f t="shared" ca="1" si="52"/>
        <v>0</v>
      </c>
      <c r="CC18" s="170">
        <f t="shared" ca="1" si="53"/>
        <v>0</v>
      </c>
      <c r="CD18" s="176">
        <f t="shared" si="71"/>
        <v>42322</v>
      </c>
      <c r="CE18" s="177">
        <f t="shared" ca="1" si="54"/>
        <v>0</v>
      </c>
      <c r="CF18" s="177">
        <f t="shared" ca="1" si="55"/>
        <v>0</v>
      </c>
      <c r="CG18" s="170">
        <f t="shared" ca="1" si="56"/>
        <v>0</v>
      </c>
      <c r="CH18" s="176">
        <f t="shared" si="72"/>
        <v>42352</v>
      </c>
      <c r="CI18" s="177">
        <f t="shared" ca="1" si="57"/>
        <v>0</v>
      </c>
      <c r="CJ18" s="177">
        <f t="shared" ca="1" si="58"/>
        <v>0</v>
      </c>
      <c r="CK18" s="171">
        <f t="shared" ca="1" si="59"/>
        <v>0</v>
      </c>
    </row>
    <row r="19" spans="2:89" ht="21" customHeight="1" x14ac:dyDescent="0.25">
      <c r="B19" s="50">
        <v>16</v>
      </c>
      <c r="C19" s="51">
        <f>Jan!B23</f>
        <v>42019</v>
      </c>
      <c r="D19" s="52" t="str">
        <f t="shared" ca="1" si="0"/>
        <v/>
      </c>
      <c r="E19" s="53" t="str">
        <f t="shared" si="1"/>
        <v/>
      </c>
      <c r="F19" s="54">
        <f t="shared" si="73"/>
        <v>42050</v>
      </c>
      <c r="G19" s="52" t="str">
        <f t="shared" ca="1" si="2"/>
        <v/>
      </c>
      <c r="H19" s="53" t="str">
        <f t="shared" si="3"/>
        <v/>
      </c>
      <c r="I19" s="51">
        <f>Mrz!B23</f>
        <v>42078</v>
      </c>
      <c r="J19" s="52" t="str">
        <f t="shared" ca="1" si="4"/>
        <v/>
      </c>
      <c r="K19" s="53" t="str">
        <f t="shared" si="5"/>
        <v/>
      </c>
      <c r="L19" s="54">
        <f>Apr!B23</f>
        <v>42109</v>
      </c>
      <c r="M19" s="52" t="str">
        <f t="shared" ca="1" si="6"/>
        <v/>
      </c>
      <c r="N19" s="53" t="str">
        <f t="shared" si="7"/>
        <v/>
      </c>
      <c r="O19" s="51">
        <f>Mai!B23</f>
        <v>42139</v>
      </c>
      <c r="P19" s="52" t="str">
        <f t="shared" ca="1" si="8"/>
        <v/>
      </c>
      <c r="Q19" s="53" t="str">
        <f t="shared" si="9"/>
        <v/>
      </c>
      <c r="R19" s="54">
        <f>Jun!B23</f>
        <v>42170</v>
      </c>
      <c r="S19" s="52" t="str">
        <f t="shared" ca="1" si="10"/>
        <v/>
      </c>
      <c r="T19" s="53" t="str">
        <f t="shared" si="11"/>
        <v/>
      </c>
      <c r="U19" s="51">
        <f>Jul!B23</f>
        <v>42200</v>
      </c>
      <c r="V19" s="52" t="str">
        <f t="shared" ca="1" si="12"/>
        <v/>
      </c>
      <c r="W19" s="53" t="str">
        <f t="shared" si="13"/>
        <v/>
      </c>
      <c r="X19" s="54">
        <f>Aug!B23</f>
        <v>42231</v>
      </c>
      <c r="Y19" s="52" t="str">
        <f t="shared" ca="1" si="14"/>
        <v/>
      </c>
      <c r="Z19" s="53" t="str">
        <f t="shared" si="15"/>
        <v/>
      </c>
      <c r="AA19" s="51">
        <f>Sep!B23</f>
        <v>42262</v>
      </c>
      <c r="AB19" s="52" t="str">
        <f t="shared" ca="1" si="16"/>
        <v/>
      </c>
      <c r="AC19" s="53" t="str">
        <f t="shared" si="17"/>
        <v/>
      </c>
      <c r="AD19" s="54">
        <f>Okt!B23</f>
        <v>42292</v>
      </c>
      <c r="AE19" s="52" t="str">
        <f t="shared" ca="1" si="18"/>
        <v/>
      </c>
      <c r="AF19" s="53" t="str">
        <f t="shared" si="19"/>
        <v/>
      </c>
      <c r="AG19" s="51">
        <f>Nov!B23</f>
        <v>42323</v>
      </c>
      <c r="AH19" s="52" t="str">
        <f t="shared" ca="1" si="20"/>
        <v/>
      </c>
      <c r="AI19" s="53" t="str">
        <f t="shared" si="21"/>
        <v/>
      </c>
      <c r="AJ19" s="51">
        <f>Dez!B23</f>
        <v>42353</v>
      </c>
      <c r="AK19" s="52" t="str">
        <f t="shared" ca="1" si="22"/>
        <v/>
      </c>
      <c r="AL19" s="55" t="str">
        <f t="shared" si="23"/>
        <v/>
      </c>
      <c r="AO19" s="179">
        <f t="shared" si="60"/>
        <v>16</v>
      </c>
      <c r="AP19" s="176">
        <f t="shared" si="61"/>
        <v>42019</v>
      </c>
      <c r="AQ19" s="177">
        <f t="shared" ca="1" si="24"/>
        <v>0</v>
      </c>
      <c r="AR19" s="177">
        <f t="shared" ca="1" si="25"/>
        <v>0</v>
      </c>
      <c r="AS19" s="170">
        <f t="shared" ca="1" si="26"/>
        <v>0</v>
      </c>
      <c r="AT19" s="176">
        <f t="shared" si="62"/>
        <v>42050</v>
      </c>
      <c r="AU19" s="177">
        <f t="shared" ca="1" si="27"/>
        <v>0</v>
      </c>
      <c r="AV19" s="177">
        <f t="shared" ca="1" si="28"/>
        <v>0</v>
      </c>
      <c r="AW19" s="170">
        <f t="shared" ca="1" si="29"/>
        <v>0</v>
      </c>
      <c r="AX19" s="176">
        <f t="shared" si="63"/>
        <v>42078</v>
      </c>
      <c r="AY19" s="177">
        <f t="shared" ca="1" si="30"/>
        <v>0</v>
      </c>
      <c r="AZ19" s="177">
        <f t="shared" ca="1" si="31"/>
        <v>0</v>
      </c>
      <c r="BA19" s="170">
        <f t="shared" ca="1" si="32"/>
        <v>0</v>
      </c>
      <c r="BB19" s="176">
        <f t="shared" si="64"/>
        <v>42109</v>
      </c>
      <c r="BC19" s="177">
        <f t="shared" ca="1" si="33"/>
        <v>0</v>
      </c>
      <c r="BD19" s="177">
        <f t="shared" ca="1" si="34"/>
        <v>0</v>
      </c>
      <c r="BE19" s="170">
        <f t="shared" ca="1" si="35"/>
        <v>0</v>
      </c>
      <c r="BF19" s="176">
        <f t="shared" si="65"/>
        <v>42139</v>
      </c>
      <c r="BG19" s="177">
        <f t="shared" ca="1" si="36"/>
        <v>0</v>
      </c>
      <c r="BH19" s="177">
        <f t="shared" ca="1" si="37"/>
        <v>0</v>
      </c>
      <c r="BI19" s="170">
        <f t="shared" ca="1" si="38"/>
        <v>0</v>
      </c>
      <c r="BJ19" s="176">
        <f t="shared" si="66"/>
        <v>42170</v>
      </c>
      <c r="BK19" s="177">
        <f t="shared" ca="1" si="39"/>
        <v>0</v>
      </c>
      <c r="BL19" s="177">
        <f t="shared" ca="1" si="40"/>
        <v>0</v>
      </c>
      <c r="BM19" s="170">
        <f t="shared" ca="1" si="41"/>
        <v>0</v>
      </c>
      <c r="BN19" s="176">
        <f t="shared" si="67"/>
        <v>42200</v>
      </c>
      <c r="BO19" s="177">
        <f t="shared" ca="1" si="42"/>
        <v>0</v>
      </c>
      <c r="BP19" s="177">
        <f t="shared" ca="1" si="43"/>
        <v>0</v>
      </c>
      <c r="BQ19" s="170">
        <f t="shared" ca="1" si="44"/>
        <v>0</v>
      </c>
      <c r="BR19" s="176">
        <f t="shared" si="68"/>
        <v>42231</v>
      </c>
      <c r="BS19" s="177">
        <f t="shared" ca="1" si="45"/>
        <v>0</v>
      </c>
      <c r="BT19" s="177">
        <f t="shared" ca="1" si="46"/>
        <v>0</v>
      </c>
      <c r="BU19" s="170">
        <f t="shared" ca="1" si="47"/>
        <v>0</v>
      </c>
      <c r="BV19" s="176">
        <f t="shared" si="69"/>
        <v>42262</v>
      </c>
      <c r="BW19" s="177">
        <f t="shared" ca="1" si="48"/>
        <v>0</v>
      </c>
      <c r="BX19" s="177">
        <f t="shared" ca="1" si="49"/>
        <v>0</v>
      </c>
      <c r="BY19" s="170">
        <f t="shared" ca="1" si="50"/>
        <v>0</v>
      </c>
      <c r="BZ19" s="176">
        <f t="shared" si="70"/>
        <v>42292</v>
      </c>
      <c r="CA19" s="177">
        <f t="shared" ca="1" si="51"/>
        <v>0</v>
      </c>
      <c r="CB19" s="177">
        <f t="shared" ca="1" si="52"/>
        <v>0</v>
      </c>
      <c r="CC19" s="170">
        <f t="shared" ca="1" si="53"/>
        <v>0</v>
      </c>
      <c r="CD19" s="176">
        <f t="shared" si="71"/>
        <v>42323</v>
      </c>
      <c r="CE19" s="177">
        <f t="shared" ca="1" si="54"/>
        <v>0</v>
      </c>
      <c r="CF19" s="177">
        <f t="shared" ca="1" si="55"/>
        <v>0</v>
      </c>
      <c r="CG19" s="170">
        <f t="shared" ca="1" si="56"/>
        <v>0</v>
      </c>
      <c r="CH19" s="176">
        <f t="shared" si="72"/>
        <v>42353</v>
      </c>
      <c r="CI19" s="177">
        <f t="shared" ca="1" si="57"/>
        <v>0</v>
      </c>
      <c r="CJ19" s="177">
        <f t="shared" ca="1" si="58"/>
        <v>0</v>
      </c>
      <c r="CK19" s="171">
        <f t="shared" ca="1" si="59"/>
        <v>0</v>
      </c>
    </row>
    <row r="20" spans="2:89" ht="21" customHeight="1" x14ac:dyDescent="0.25">
      <c r="B20" s="50">
        <v>17</v>
      </c>
      <c r="C20" s="51">
        <f>Jan!B24</f>
        <v>42020</v>
      </c>
      <c r="D20" s="52" t="str">
        <f t="shared" ca="1" si="0"/>
        <v/>
      </c>
      <c r="E20" s="53" t="str">
        <f t="shared" si="1"/>
        <v/>
      </c>
      <c r="F20" s="54">
        <f t="shared" si="73"/>
        <v>42051</v>
      </c>
      <c r="G20" s="52" t="str">
        <f t="shared" ca="1" si="2"/>
        <v/>
      </c>
      <c r="H20" s="53" t="str">
        <f t="shared" si="3"/>
        <v/>
      </c>
      <c r="I20" s="51">
        <f>Mrz!B24</f>
        <v>42079</v>
      </c>
      <c r="J20" s="52" t="str">
        <f t="shared" ca="1" si="4"/>
        <v/>
      </c>
      <c r="K20" s="53" t="str">
        <f t="shared" si="5"/>
        <v/>
      </c>
      <c r="L20" s="54">
        <f>Apr!B24</f>
        <v>42110</v>
      </c>
      <c r="M20" s="52" t="str">
        <f t="shared" ca="1" si="6"/>
        <v/>
      </c>
      <c r="N20" s="53" t="str">
        <f t="shared" si="7"/>
        <v/>
      </c>
      <c r="O20" s="51">
        <f>Mai!B24</f>
        <v>42140</v>
      </c>
      <c r="P20" s="52" t="str">
        <f t="shared" ca="1" si="8"/>
        <v/>
      </c>
      <c r="Q20" s="53" t="str">
        <f t="shared" si="9"/>
        <v/>
      </c>
      <c r="R20" s="54">
        <f>Jun!B24</f>
        <v>42171</v>
      </c>
      <c r="S20" s="52" t="str">
        <f t="shared" ca="1" si="10"/>
        <v/>
      </c>
      <c r="T20" s="53" t="str">
        <f t="shared" si="11"/>
        <v/>
      </c>
      <c r="U20" s="51">
        <f>Jul!B24</f>
        <v>42201</v>
      </c>
      <c r="V20" s="52" t="str">
        <f t="shared" ca="1" si="12"/>
        <v/>
      </c>
      <c r="W20" s="53" t="str">
        <f t="shared" si="13"/>
        <v/>
      </c>
      <c r="X20" s="54">
        <f>Aug!B24</f>
        <v>42232</v>
      </c>
      <c r="Y20" s="52" t="str">
        <f t="shared" ca="1" si="14"/>
        <v/>
      </c>
      <c r="Z20" s="53" t="str">
        <f t="shared" si="15"/>
        <v/>
      </c>
      <c r="AA20" s="51">
        <f>Sep!B24</f>
        <v>42263</v>
      </c>
      <c r="AB20" s="52" t="str">
        <f t="shared" ca="1" si="16"/>
        <v/>
      </c>
      <c r="AC20" s="53" t="str">
        <f t="shared" si="17"/>
        <v/>
      </c>
      <c r="AD20" s="54">
        <f>Okt!B24</f>
        <v>42293</v>
      </c>
      <c r="AE20" s="52" t="str">
        <f t="shared" ca="1" si="18"/>
        <v/>
      </c>
      <c r="AF20" s="53" t="str">
        <f t="shared" si="19"/>
        <v/>
      </c>
      <c r="AG20" s="51">
        <f>Nov!B24</f>
        <v>42324</v>
      </c>
      <c r="AH20" s="52" t="str">
        <f t="shared" ca="1" si="20"/>
        <v/>
      </c>
      <c r="AI20" s="53" t="str">
        <f t="shared" si="21"/>
        <v/>
      </c>
      <c r="AJ20" s="51">
        <f>Dez!B24</f>
        <v>42354</v>
      </c>
      <c r="AK20" s="52" t="str">
        <f t="shared" ca="1" si="22"/>
        <v/>
      </c>
      <c r="AL20" s="55" t="str">
        <f t="shared" si="23"/>
        <v/>
      </c>
      <c r="AO20" s="179">
        <f t="shared" si="60"/>
        <v>17</v>
      </c>
      <c r="AP20" s="176">
        <f t="shared" si="61"/>
        <v>42020</v>
      </c>
      <c r="AQ20" s="177">
        <f t="shared" ca="1" si="24"/>
        <v>0</v>
      </c>
      <c r="AR20" s="177">
        <f t="shared" ca="1" si="25"/>
        <v>0</v>
      </c>
      <c r="AS20" s="170">
        <f t="shared" ca="1" si="26"/>
        <v>0</v>
      </c>
      <c r="AT20" s="176">
        <f t="shared" si="62"/>
        <v>42051</v>
      </c>
      <c r="AU20" s="177">
        <f t="shared" ca="1" si="27"/>
        <v>0</v>
      </c>
      <c r="AV20" s="177">
        <f t="shared" ca="1" si="28"/>
        <v>0</v>
      </c>
      <c r="AW20" s="170">
        <f t="shared" ca="1" si="29"/>
        <v>0</v>
      </c>
      <c r="AX20" s="176">
        <f t="shared" si="63"/>
        <v>42079</v>
      </c>
      <c r="AY20" s="177">
        <f t="shared" ca="1" si="30"/>
        <v>0</v>
      </c>
      <c r="AZ20" s="177">
        <f t="shared" ca="1" si="31"/>
        <v>0</v>
      </c>
      <c r="BA20" s="170">
        <f t="shared" ca="1" si="32"/>
        <v>0</v>
      </c>
      <c r="BB20" s="176">
        <f t="shared" si="64"/>
        <v>42110</v>
      </c>
      <c r="BC20" s="177">
        <f t="shared" ca="1" si="33"/>
        <v>0</v>
      </c>
      <c r="BD20" s="177">
        <f t="shared" ca="1" si="34"/>
        <v>0</v>
      </c>
      <c r="BE20" s="170">
        <f t="shared" ca="1" si="35"/>
        <v>0</v>
      </c>
      <c r="BF20" s="176">
        <f t="shared" si="65"/>
        <v>42140</v>
      </c>
      <c r="BG20" s="177">
        <f t="shared" ca="1" si="36"/>
        <v>0</v>
      </c>
      <c r="BH20" s="177">
        <f t="shared" ca="1" si="37"/>
        <v>0</v>
      </c>
      <c r="BI20" s="170">
        <f t="shared" ca="1" si="38"/>
        <v>0</v>
      </c>
      <c r="BJ20" s="176">
        <f t="shared" si="66"/>
        <v>42171</v>
      </c>
      <c r="BK20" s="177">
        <f t="shared" ca="1" si="39"/>
        <v>0</v>
      </c>
      <c r="BL20" s="177">
        <f t="shared" ca="1" si="40"/>
        <v>0</v>
      </c>
      <c r="BM20" s="170">
        <f t="shared" ca="1" si="41"/>
        <v>0</v>
      </c>
      <c r="BN20" s="176">
        <f t="shared" si="67"/>
        <v>42201</v>
      </c>
      <c r="BO20" s="177">
        <f t="shared" ca="1" si="42"/>
        <v>0</v>
      </c>
      <c r="BP20" s="177">
        <f t="shared" ca="1" si="43"/>
        <v>0</v>
      </c>
      <c r="BQ20" s="170">
        <f t="shared" ca="1" si="44"/>
        <v>0</v>
      </c>
      <c r="BR20" s="176">
        <f t="shared" si="68"/>
        <v>42232</v>
      </c>
      <c r="BS20" s="177">
        <f t="shared" ca="1" si="45"/>
        <v>0</v>
      </c>
      <c r="BT20" s="177">
        <f t="shared" ca="1" si="46"/>
        <v>0</v>
      </c>
      <c r="BU20" s="170">
        <f t="shared" ca="1" si="47"/>
        <v>0</v>
      </c>
      <c r="BV20" s="176">
        <f t="shared" si="69"/>
        <v>42263</v>
      </c>
      <c r="BW20" s="177">
        <f t="shared" ca="1" si="48"/>
        <v>0</v>
      </c>
      <c r="BX20" s="177">
        <f t="shared" ca="1" si="49"/>
        <v>0</v>
      </c>
      <c r="BY20" s="170">
        <f t="shared" ca="1" si="50"/>
        <v>0</v>
      </c>
      <c r="BZ20" s="176">
        <f t="shared" si="70"/>
        <v>42293</v>
      </c>
      <c r="CA20" s="177">
        <f t="shared" ca="1" si="51"/>
        <v>0</v>
      </c>
      <c r="CB20" s="177">
        <f t="shared" ca="1" si="52"/>
        <v>0</v>
      </c>
      <c r="CC20" s="170">
        <f t="shared" ca="1" si="53"/>
        <v>0</v>
      </c>
      <c r="CD20" s="176">
        <f t="shared" si="71"/>
        <v>42324</v>
      </c>
      <c r="CE20" s="177">
        <f t="shared" ca="1" si="54"/>
        <v>0</v>
      </c>
      <c r="CF20" s="177">
        <f t="shared" ca="1" si="55"/>
        <v>0</v>
      </c>
      <c r="CG20" s="170">
        <f t="shared" ca="1" si="56"/>
        <v>0</v>
      </c>
      <c r="CH20" s="176">
        <f t="shared" si="72"/>
        <v>42354</v>
      </c>
      <c r="CI20" s="177">
        <f t="shared" ca="1" si="57"/>
        <v>0</v>
      </c>
      <c r="CJ20" s="177">
        <f t="shared" ca="1" si="58"/>
        <v>0</v>
      </c>
      <c r="CK20" s="171">
        <f t="shared" ca="1" si="59"/>
        <v>0</v>
      </c>
    </row>
    <row r="21" spans="2:89" ht="21" customHeight="1" x14ac:dyDescent="0.25">
      <c r="B21" s="50">
        <v>18</v>
      </c>
      <c r="C21" s="51">
        <f>Jan!B25</f>
        <v>42021</v>
      </c>
      <c r="D21" s="52" t="str">
        <f t="shared" ca="1" si="0"/>
        <v/>
      </c>
      <c r="E21" s="53" t="str">
        <f t="shared" si="1"/>
        <v/>
      </c>
      <c r="F21" s="54">
        <f t="shared" si="73"/>
        <v>42052</v>
      </c>
      <c r="G21" s="52" t="str">
        <f t="shared" ca="1" si="2"/>
        <v/>
      </c>
      <c r="H21" s="53" t="str">
        <f t="shared" si="3"/>
        <v/>
      </c>
      <c r="I21" s="51">
        <f>Mrz!B25</f>
        <v>42080</v>
      </c>
      <c r="J21" s="52" t="str">
        <f t="shared" ca="1" si="4"/>
        <v/>
      </c>
      <c r="K21" s="53" t="str">
        <f t="shared" si="5"/>
        <v/>
      </c>
      <c r="L21" s="54">
        <f>Apr!B25</f>
        <v>42111</v>
      </c>
      <c r="M21" s="52" t="str">
        <f t="shared" ca="1" si="6"/>
        <v/>
      </c>
      <c r="N21" s="53" t="str">
        <f t="shared" si="7"/>
        <v/>
      </c>
      <c r="O21" s="51">
        <f>Mai!B25</f>
        <v>42141</v>
      </c>
      <c r="P21" s="52" t="str">
        <f t="shared" ca="1" si="8"/>
        <v/>
      </c>
      <c r="Q21" s="53" t="str">
        <f t="shared" si="9"/>
        <v/>
      </c>
      <c r="R21" s="54">
        <f>Jun!B25</f>
        <v>42172</v>
      </c>
      <c r="S21" s="52" t="str">
        <f t="shared" ca="1" si="10"/>
        <v/>
      </c>
      <c r="T21" s="53" t="str">
        <f t="shared" si="11"/>
        <v/>
      </c>
      <c r="U21" s="51">
        <f>Jul!B25</f>
        <v>42202</v>
      </c>
      <c r="V21" s="52" t="str">
        <f t="shared" ca="1" si="12"/>
        <v/>
      </c>
      <c r="W21" s="53" t="str">
        <f t="shared" si="13"/>
        <v/>
      </c>
      <c r="X21" s="54">
        <f>Aug!B25</f>
        <v>42233</v>
      </c>
      <c r="Y21" s="52" t="str">
        <f t="shared" ca="1" si="14"/>
        <v/>
      </c>
      <c r="Z21" s="53" t="str">
        <f t="shared" si="15"/>
        <v/>
      </c>
      <c r="AA21" s="51">
        <f>Sep!B25</f>
        <v>42264</v>
      </c>
      <c r="AB21" s="52" t="str">
        <f t="shared" ca="1" si="16"/>
        <v/>
      </c>
      <c r="AC21" s="53" t="str">
        <f t="shared" si="17"/>
        <v/>
      </c>
      <c r="AD21" s="54">
        <f>Okt!B25</f>
        <v>42294</v>
      </c>
      <c r="AE21" s="52" t="str">
        <f t="shared" ca="1" si="18"/>
        <v/>
      </c>
      <c r="AF21" s="53" t="str">
        <f t="shared" si="19"/>
        <v/>
      </c>
      <c r="AG21" s="51">
        <f>Nov!B25</f>
        <v>42325</v>
      </c>
      <c r="AH21" s="52" t="str">
        <f t="shared" ca="1" si="20"/>
        <v/>
      </c>
      <c r="AI21" s="53" t="str">
        <f t="shared" si="21"/>
        <v/>
      </c>
      <c r="AJ21" s="51">
        <f>Dez!B25</f>
        <v>42355</v>
      </c>
      <c r="AK21" s="52" t="str">
        <f t="shared" ca="1" si="22"/>
        <v/>
      </c>
      <c r="AL21" s="55" t="str">
        <f t="shared" si="23"/>
        <v/>
      </c>
      <c r="AO21" s="179">
        <f t="shared" si="60"/>
        <v>18</v>
      </c>
      <c r="AP21" s="176">
        <f t="shared" si="61"/>
        <v>42021</v>
      </c>
      <c r="AQ21" s="177">
        <f t="shared" ca="1" si="24"/>
        <v>0</v>
      </c>
      <c r="AR21" s="177">
        <f t="shared" ca="1" si="25"/>
        <v>0</v>
      </c>
      <c r="AS21" s="170">
        <f t="shared" ca="1" si="26"/>
        <v>0</v>
      </c>
      <c r="AT21" s="176">
        <f t="shared" si="62"/>
        <v>42052</v>
      </c>
      <c r="AU21" s="177">
        <f t="shared" ca="1" si="27"/>
        <v>0</v>
      </c>
      <c r="AV21" s="177">
        <f t="shared" ca="1" si="28"/>
        <v>0</v>
      </c>
      <c r="AW21" s="170">
        <f t="shared" ca="1" si="29"/>
        <v>0</v>
      </c>
      <c r="AX21" s="176">
        <f t="shared" si="63"/>
        <v>42080</v>
      </c>
      <c r="AY21" s="177">
        <f t="shared" ca="1" si="30"/>
        <v>0</v>
      </c>
      <c r="AZ21" s="177">
        <f t="shared" ca="1" si="31"/>
        <v>0</v>
      </c>
      <c r="BA21" s="170">
        <f t="shared" ca="1" si="32"/>
        <v>0</v>
      </c>
      <c r="BB21" s="176">
        <f t="shared" si="64"/>
        <v>42111</v>
      </c>
      <c r="BC21" s="177">
        <f t="shared" ca="1" si="33"/>
        <v>0</v>
      </c>
      <c r="BD21" s="177">
        <f t="shared" ca="1" si="34"/>
        <v>0</v>
      </c>
      <c r="BE21" s="170">
        <f t="shared" ca="1" si="35"/>
        <v>0</v>
      </c>
      <c r="BF21" s="176">
        <f t="shared" si="65"/>
        <v>42141</v>
      </c>
      <c r="BG21" s="177">
        <f t="shared" ca="1" si="36"/>
        <v>0</v>
      </c>
      <c r="BH21" s="177">
        <f t="shared" ca="1" si="37"/>
        <v>0</v>
      </c>
      <c r="BI21" s="170">
        <f t="shared" ca="1" si="38"/>
        <v>0</v>
      </c>
      <c r="BJ21" s="176">
        <f t="shared" si="66"/>
        <v>42172</v>
      </c>
      <c r="BK21" s="177">
        <f t="shared" ca="1" si="39"/>
        <v>0</v>
      </c>
      <c r="BL21" s="177">
        <f t="shared" ca="1" si="40"/>
        <v>0</v>
      </c>
      <c r="BM21" s="170">
        <f t="shared" ca="1" si="41"/>
        <v>0</v>
      </c>
      <c r="BN21" s="176">
        <f t="shared" si="67"/>
        <v>42202</v>
      </c>
      <c r="BO21" s="177">
        <f t="shared" ca="1" si="42"/>
        <v>0</v>
      </c>
      <c r="BP21" s="177">
        <f t="shared" ca="1" si="43"/>
        <v>0</v>
      </c>
      <c r="BQ21" s="170">
        <f t="shared" ca="1" si="44"/>
        <v>0</v>
      </c>
      <c r="BR21" s="176">
        <f t="shared" si="68"/>
        <v>42233</v>
      </c>
      <c r="BS21" s="177">
        <f t="shared" ca="1" si="45"/>
        <v>0</v>
      </c>
      <c r="BT21" s="177">
        <f t="shared" ca="1" si="46"/>
        <v>0</v>
      </c>
      <c r="BU21" s="170">
        <f t="shared" ca="1" si="47"/>
        <v>0</v>
      </c>
      <c r="BV21" s="176">
        <f t="shared" si="69"/>
        <v>42264</v>
      </c>
      <c r="BW21" s="177">
        <f t="shared" ca="1" si="48"/>
        <v>0</v>
      </c>
      <c r="BX21" s="177">
        <f t="shared" ca="1" si="49"/>
        <v>0</v>
      </c>
      <c r="BY21" s="170">
        <f t="shared" ca="1" si="50"/>
        <v>0</v>
      </c>
      <c r="BZ21" s="176">
        <f t="shared" si="70"/>
        <v>42294</v>
      </c>
      <c r="CA21" s="177">
        <f t="shared" ca="1" si="51"/>
        <v>0</v>
      </c>
      <c r="CB21" s="177">
        <f t="shared" ca="1" si="52"/>
        <v>0</v>
      </c>
      <c r="CC21" s="170">
        <f t="shared" ca="1" si="53"/>
        <v>0</v>
      </c>
      <c r="CD21" s="176">
        <f t="shared" si="71"/>
        <v>42325</v>
      </c>
      <c r="CE21" s="177">
        <f t="shared" ca="1" si="54"/>
        <v>0</v>
      </c>
      <c r="CF21" s="177">
        <f t="shared" ca="1" si="55"/>
        <v>0</v>
      </c>
      <c r="CG21" s="170">
        <f t="shared" ca="1" si="56"/>
        <v>0</v>
      </c>
      <c r="CH21" s="176">
        <f t="shared" si="72"/>
        <v>42355</v>
      </c>
      <c r="CI21" s="177">
        <f t="shared" ca="1" si="57"/>
        <v>0</v>
      </c>
      <c r="CJ21" s="177">
        <f t="shared" ca="1" si="58"/>
        <v>0</v>
      </c>
      <c r="CK21" s="171">
        <f t="shared" ca="1" si="59"/>
        <v>0</v>
      </c>
    </row>
    <row r="22" spans="2:89" ht="21" customHeight="1" x14ac:dyDescent="0.25">
      <c r="B22" s="50">
        <v>19</v>
      </c>
      <c r="C22" s="51">
        <f>Jan!B26</f>
        <v>42022</v>
      </c>
      <c r="D22" s="52" t="str">
        <f t="shared" ca="1" si="0"/>
        <v/>
      </c>
      <c r="E22" s="53" t="str">
        <f t="shared" si="1"/>
        <v/>
      </c>
      <c r="F22" s="54">
        <f t="shared" si="73"/>
        <v>42053</v>
      </c>
      <c r="G22" s="52" t="str">
        <f t="shared" ca="1" si="2"/>
        <v/>
      </c>
      <c r="H22" s="53" t="str">
        <f t="shared" si="3"/>
        <v/>
      </c>
      <c r="I22" s="51">
        <f>Mrz!B26</f>
        <v>42081</v>
      </c>
      <c r="J22" s="52" t="str">
        <f t="shared" ca="1" si="4"/>
        <v/>
      </c>
      <c r="K22" s="53" t="str">
        <f t="shared" si="5"/>
        <v/>
      </c>
      <c r="L22" s="54">
        <f>Apr!B26</f>
        <v>42112</v>
      </c>
      <c r="M22" s="52" t="str">
        <f t="shared" si="6"/>
        <v/>
      </c>
      <c r="N22" s="53" t="str">
        <f t="shared" si="7"/>
        <v/>
      </c>
      <c r="O22" s="51">
        <f>Mai!B26</f>
        <v>42142</v>
      </c>
      <c r="P22" s="52" t="str">
        <f t="shared" ca="1" si="8"/>
        <v/>
      </c>
      <c r="Q22" s="53" t="str">
        <f t="shared" si="9"/>
        <v/>
      </c>
      <c r="R22" s="54">
        <f>Jun!B26</f>
        <v>42173</v>
      </c>
      <c r="S22" s="52" t="str">
        <f t="shared" ca="1" si="10"/>
        <v/>
      </c>
      <c r="T22" s="53" t="str">
        <f t="shared" si="11"/>
        <v/>
      </c>
      <c r="U22" s="51">
        <f>Jul!B26</f>
        <v>42203</v>
      </c>
      <c r="V22" s="52" t="str">
        <f t="shared" ca="1" si="12"/>
        <v/>
      </c>
      <c r="W22" s="53" t="str">
        <f t="shared" si="13"/>
        <v/>
      </c>
      <c r="X22" s="54">
        <f>Aug!B26</f>
        <v>42234</v>
      </c>
      <c r="Y22" s="52" t="str">
        <f t="shared" ca="1" si="14"/>
        <v/>
      </c>
      <c r="Z22" s="53" t="str">
        <f t="shared" si="15"/>
        <v/>
      </c>
      <c r="AA22" s="51">
        <f>Sep!B26</f>
        <v>42265</v>
      </c>
      <c r="AB22" s="52" t="str">
        <f t="shared" ca="1" si="16"/>
        <v/>
      </c>
      <c r="AC22" s="53" t="str">
        <f t="shared" si="17"/>
        <v/>
      </c>
      <c r="AD22" s="54">
        <f>Okt!B26</f>
        <v>42295</v>
      </c>
      <c r="AE22" s="52" t="str">
        <f t="shared" ca="1" si="18"/>
        <v/>
      </c>
      <c r="AF22" s="53" t="str">
        <f t="shared" si="19"/>
        <v/>
      </c>
      <c r="AG22" s="51">
        <f>Nov!B26</f>
        <v>42326</v>
      </c>
      <c r="AH22" s="52" t="str">
        <f t="shared" ca="1" si="20"/>
        <v/>
      </c>
      <c r="AI22" s="53" t="str">
        <f t="shared" si="21"/>
        <v/>
      </c>
      <c r="AJ22" s="51">
        <f>Dez!B26</f>
        <v>42356</v>
      </c>
      <c r="AK22" s="52" t="str">
        <f t="shared" ca="1" si="22"/>
        <v/>
      </c>
      <c r="AL22" s="55" t="str">
        <f t="shared" si="23"/>
        <v/>
      </c>
      <c r="AO22" s="179">
        <f t="shared" si="60"/>
        <v>19</v>
      </c>
      <c r="AP22" s="176">
        <f t="shared" si="61"/>
        <v>42022</v>
      </c>
      <c r="AQ22" s="177">
        <f t="shared" ca="1" si="24"/>
        <v>0</v>
      </c>
      <c r="AR22" s="177">
        <f t="shared" ca="1" si="25"/>
        <v>0</v>
      </c>
      <c r="AS22" s="170">
        <f t="shared" ca="1" si="26"/>
        <v>0</v>
      </c>
      <c r="AT22" s="176">
        <f t="shared" si="62"/>
        <v>42053</v>
      </c>
      <c r="AU22" s="177">
        <f t="shared" ca="1" si="27"/>
        <v>0</v>
      </c>
      <c r="AV22" s="177">
        <f t="shared" ca="1" si="28"/>
        <v>0</v>
      </c>
      <c r="AW22" s="170">
        <f t="shared" ca="1" si="29"/>
        <v>0</v>
      </c>
      <c r="AX22" s="176">
        <f t="shared" si="63"/>
        <v>42081</v>
      </c>
      <c r="AY22" s="177">
        <f t="shared" ca="1" si="30"/>
        <v>0</v>
      </c>
      <c r="AZ22" s="177">
        <f t="shared" ca="1" si="31"/>
        <v>0</v>
      </c>
      <c r="BA22" s="170">
        <f t="shared" ca="1" si="32"/>
        <v>0</v>
      </c>
      <c r="BB22" s="176">
        <f t="shared" si="64"/>
        <v>42112</v>
      </c>
      <c r="BC22" s="177">
        <f t="shared" ca="1" si="33"/>
        <v>0</v>
      </c>
      <c r="BD22" s="177">
        <f t="shared" ca="1" si="34"/>
        <v>0</v>
      </c>
      <c r="BE22" s="170">
        <f t="shared" ca="1" si="35"/>
        <v>0</v>
      </c>
      <c r="BF22" s="176">
        <f t="shared" si="65"/>
        <v>42142</v>
      </c>
      <c r="BG22" s="177">
        <f t="shared" ca="1" si="36"/>
        <v>0</v>
      </c>
      <c r="BH22" s="177">
        <f t="shared" ca="1" si="37"/>
        <v>0</v>
      </c>
      <c r="BI22" s="170">
        <f t="shared" ca="1" si="38"/>
        <v>0</v>
      </c>
      <c r="BJ22" s="176">
        <f t="shared" si="66"/>
        <v>42173</v>
      </c>
      <c r="BK22" s="177">
        <f t="shared" ca="1" si="39"/>
        <v>0</v>
      </c>
      <c r="BL22" s="177">
        <f t="shared" ca="1" si="40"/>
        <v>0</v>
      </c>
      <c r="BM22" s="170">
        <f t="shared" ca="1" si="41"/>
        <v>0</v>
      </c>
      <c r="BN22" s="176">
        <f t="shared" si="67"/>
        <v>42203</v>
      </c>
      <c r="BO22" s="177">
        <f t="shared" ca="1" si="42"/>
        <v>0</v>
      </c>
      <c r="BP22" s="177">
        <f t="shared" ca="1" si="43"/>
        <v>0</v>
      </c>
      <c r="BQ22" s="170">
        <f t="shared" ca="1" si="44"/>
        <v>0</v>
      </c>
      <c r="BR22" s="176">
        <f t="shared" si="68"/>
        <v>42234</v>
      </c>
      <c r="BS22" s="177">
        <f t="shared" ca="1" si="45"/>
        <v>0</v>
      </c>
      <c r="BT22" s="177">
        <f t="shared" ca="1" si="46"/>
        <v>0</v>
      </c>
      <c r="BU22" s="170">
        <f t="shared" ca="1" si="47"/>
        <v>0</v>
      </c>
      <c r="BV22" s="176">
        <f t="shared" si="69"/>
        <v>42265</v>
      </c>
      <c r="BW22" s="177">
        <f t="shared" ca="1" si="48"/>
        <v>0</v>
      </c>
      <c r="BX22" s="177">
        <f t="shared" ca="1" si="49"/>
        <v>0</v>
      </c>
      <c r="BY22" s="170">
        <f t="shared" ca="1" si="50"/>
        <v>0</v>
      </c>
      <c r="BZ22" s="176">
        <f t="shared" si="70"/>
        <v>42295</v>
      </c>
      <c r="CA22" s="177">
        <f t="shared" ca="1" si="51"/>
        <v>0</v>
      </c>
      <c r="CB22" s="177">
        <f t="shared" ca="1" si="52"/>
        <v>0</v>
      </c>
      <c r="CC22" s="170">
        <f t="shared" ca="1" si="53"/>
        <v>0</v>
      </c>
      <c r="CD22" s="176">
        <f t="shared" si="71"/>
        <v>42326</v>
      </c>
      <c r="CE22" s="177">
        <f t="shared" ca="1" si="54"/>
        <v>0</v>
      </c>
      <c r="CF22" s="177">
        <f t="shared" ca="1" si="55"/>
        <v>0</v>
      </c>
      <c r="CG22" s="170">
        <f t="shared" ca="1" si="56"/>
        <v>0</v>
      </c>
      <c r="CH22" s="176">
        <f t="shared" si="72"/>
        <v>42356</v>
      </c>
      <c r="CI22" s="177">
        <f t="shared" ca="1" si="57"/>
        <v>0</v>
      </c>
      <c r="CJ22" s="177">
        <f t="shared" ca="1" si="58"/>
        <v>0</v>
      </c>
      <c r="CK22" s="171">
        <f t="shared" ca="1" si="59"/>
        <v>0</v>
      </c>
    </row>
    <row r="23" spans="2:89" ht="21" customHeight="1" x14ac:dyDescent="0.25">
      <c r="B23" s="50">
        <v>20</v>
      </c>
      <c r="C23" s="51">
        <f>Jan!B27</f>
        <v>42023</v>
      </c>
      <c r="D23" s="52" t="str">
        <f t="shared" ca="1" si="0"/>
        <v/>
      </c>
      <c r="E23" s="53" t="str">
        <f t="shared" si="1"/>
        <v/>
      </c>
      <c r="F23" s="54">
        <f t="shared" si="73"/>
        <v>42054</v>
      </c>
      <c r="G23" s="52" t="str">
        <f t="shared" ca="1" si="2"/>
        <v/>
      </c>
      <c r="H23" s="53" t="str">
        <f t="shared" si="3"/>
        <v/>
      </c>
      <c r="I23" s="51">
        <f>Mrz!B27</f>
        <v>42082</v>
      </c>
      <c r="J23" s="52" t="str">
        <f t="shared" ca="1" si="4"/>
        <v/>
      </c>
      <c r="K23" s="53" t="str">
        <f t="shared" si="5"/>
        <v/>
      </c>
      <c r="L23" s="54">
        <f>Apr!B27</f>
        <v>42113</v>
      </c>
      <c r="M23" s="52" t="str">
        <f t="shared" si="6"/>
        <v/>
      </c>
      <c r="N23" s="53" t="str">
        <f t="shared" si="7"/>
        <v/>
      </c>
      <c r="O23" s="51">
        <f>Mai!B27</f>
        <v>42143</v>
      </c>
      <c r="P23" s="52" t="str">
        <f t="shared" ca="1" si="8"/>
        <v/>
      </c>
      <c r="Q23" s="53" t="str">
        <f t="shared" si="9"/>
        <v/>
      </c>
      <c r="R23" s="54">
        <f>Jun!B27</f>
        <v>42174</v>
      </c>
      <c r="S23" s="52" t="str">
        <f t="shared" ca="1" si="10"/>
        <v/>
      </c>
      <c r="T23" s="53" t="str">
        <f t="shared" si="11"/>
        <v/>
      </c>
      <c r="U23" s="51">
        <f>Jul!B27</f>
        <v>42204</v>
      </c>
      <c r="V23" s="52" t="str">
        <f t="shared" ca="1" si="12"/>
        <v/>
      </c>
      <c r="W23" s="53" t="str">
        <f t="shared" si="13"/>
        <v/>
      </c>
      <c r="X23" s="54">
        <f>Aug!B27</f>
        <v>42235</v>
      </c>
      <c r="Y23" s="52" t="str">
        <f t="shared" ca="1" si="14"/>
        <v/>
      </c>
      <c r="Z23" s="53" t="str">
        <f t="shared" si="15"/>
        <v/>
      </c>
      <c r="AA23" s="51">
        <f>Sep!B27</f>
        <v>42266</v>
      </c>
      <c r="AB23" s="52" t="str">
        <f t="shared" ca="1" si="16"/>
        <v/>
      </c>
      <c r="AC23" s="53" t="str">
        <f t="shared" si="17"/>
        <v/>
      </c>
      <c r="AD23" s="54">
        <f>Okt!B27</f>
        <v>42296</v>
      </c>
      <c r="AE23" s="52" t="str">
        <f t="shared" ca="1" si="18"/>
        <v/>
      </c>
      <c r="AF23" s="53" t="str">
        <f t="shared" si="19"/>
        <v/>
      </c>
      <c r="AG23" s="51">
        <f>Nov!B27</f>
        <v>42327</v>
      </c>
      <c r="AH23" s="52" t="str">
        <f t="shared" si="20"/>
        <v/>
      </c>
      <c r="AI23" s="53" t="str">
        <f t="shared" si="21"/>
        <v/>
      </c>
      <c r="AJ23" s="51">
        <f>Dez!B27</f>
        <v>42357</v>
      </c>
      <c r="AK23" s="52" t="str">
        <f t="shared" ca="1" si="22"/>
        <v/>
      </c>
      <c r="AL23" s="55" t="str">
        <f t="shared" si="23"/>
        <v/>
      </c>
      <c r="AO23" s="179">
        <f t="shared" si="60"/>
        <v>20</v>
      </c>
      <c r="AP23" s="176">
        <f t="shared" si="61"/>
        <v>42023</v>
      </c>
      <c r="AQ23" s="177">
        <f t="shared" ca="1" si="24"/>
        <v>0</v>
      </c>
      <c r="AR23" s="177">
        <f t="shared" ca="1" si="25"/>
        <v>0</v>
      </c>
      <c r="AS23" s="170">
        <f t="shared" ca="1" si="26"/>
        <v>0</v>
      </c>
      <c r="AT23" s="176">
        <f t="shared" si="62"/>
        <v>42054</v>
      </c>
      <c r="AU23" s="177">
        <f t="shared" ca="1" si="27"/>
        <v>0</v>
      </c>
      <c r="AV23" s="177">
        <f t="shared" ca="1" si="28"/>
        <v>0</v>
      </c>
      <c r="AW23" s="170">
        <f t="shared" ca="1" si="29"/>
        <v>0</v>
      </c>
      <c r="AX23" s="176">
        <f t="shared" si="63"/>
        <v>42082</v>
      </c>
      <c r="AY23" s="177">
        <f t="shared" ca="1" si="30"/>
        <v>0</v>
      </c>
      <c r="AZ23" s="177">
        <f t="shared" ca="1" si="31"/>
        <v>0</v>
      </c>
      <c r="BA23" s="170">
        <f t="shared" ca="1" si="32"/>
        <v>0</v>
      </c>
      <c r="BB23" s="176">
        <f t="shared" si="64"/>
        <v>42113</v>
      </c>
      <c r="BC23" s="177">
        <f t="shared" ca="1" si="33"/>
        <v>0</v>
      </c>
      <c r="BD23" s="177">
        <f t="shared" ca="1" si="34"/>
        <v>0</v>
      </c>
      <c r="BE23" s="170">
        <f t="shared" ca="1" si="35"/>
        <v>0</v>
      </c>
      <c r="BF23" s="176">
        <f t="shared" si="65"/>
        <v>42143</v>
      </c>
      <c r="BG23" s="177">
        <f t="shared" ca="1" si="36"/>
        <v>0</v>
      </c>
      <c r="BH23" s="177">
        <f t="shared" ca="1" si="37"/>
        <v>0</v>
      </c>
      <c r="BI23" s="170">
        <f t="shared" ca="1" si="38"/>
        <v>0</v>
      </c>
      <c r="BJ23" s="176">
        <f t="shared" si="66"/>
        <v>42174</v>
      </c>
      <c r="BK23" s="177">
        <f t="shared" ca="1" si="39"/>
        <v>0</v>
      </c>
      <c r="BL23" s="177">
        <f t="shared" ca="1" si="40"/>
        <v>0</v>
      </c>
      <c r="BM23" s="170">
        <f t="shared" ca="1" si="41"/>
        <v>0</v>
      </c>
      <c r="BN23" s="176">
        <f t="shared" si="67"/>
        <v>42204</v>
      </c>
      <c r="BO23" s="177">
        <f t="shared" ca="1" si="42"/>
        <v>0</v>
      </c>
      <c r="BP23" s="177">
        <f t="shared" ca="1" si="43"/>
        <v>0</v>
      </c>
      <c r="BQ23" s="170">
        <f t="shared" ca="1" si="44"/>
        <v>0</v>
      </c>
      <c r="BR23" s="176">
        <f t="shared" si="68"/>
        <v>42235</v>
      </c>
      <c r="BS23" s="177">
        <f t="shared" ca="1" si="45"/>
        <v>0</v>
      </c>
      <c r="BT23" s="177">
        <f t="shared" ca="1" si="46"/>
        <v>0</v>
      </c>
      <c r="BU23" s="170">
        <f t="shared" ca="1" si="47"/>
        <v>0</v>
      </c>
      <c r="BV23" s="176">
        <f t="shared" si="69"/>
        <v>42266</v>
      </c>
      <c r="BW23" s="177">
        <f t="shared" ca="1" si="48"/>
        <v>0</v>
      </c>
      <c r="BX23" s="177">
        <f t="shared" ca="1" si="49"/>
        <v>0</v>
      </c>
      <c r="BY23" s="170">
        <f t="shared" ca="1" si="50"/>
        <v>0</v>
      </c>
      <c r="BZ23" s="176">
        <f t="shared" si="70"/>
        <v>42296</v>
      </c>
      <c r="CA23" s="177">
        <f t="shared" ca="1" si="51"/>
        <v>0</v>
      </c>
      <c r="CB23" s="177">
        <f t="shared" ca="1" si="52"/>
        <v>0</v>
      </c>
      <c r="CC23" s="170">
        <f t="shared" ca="1" si="53"/>
        <v>0</v>
      </c>
      <c r="CD23" s="176">
        <f t="shared" si="71"/>
        <v>42327</v>
      </c>
      <c r="CE23" s="177">
        <f t="shared" ca="1" si="54"/>
        <v>0</v>
      </c>
      <c r="CF23" s="177">
        <f t="shared" ca="1" si="55"/>
        <v>0</v>
      </c>
      <c r="CG23" s="170">
        <f t="shared" ca="1" si="56"/>
        <v>0</v>
      </c>
      <c r="CH23" s="176">
        <f t="shared" si="72"/>
        <v>42357</v>
      </c>
      <c r="CI23" s="177">
        <f t="shared" ca="1" si="57"/>
        <v>0</v>
      </c>
      <c r="CJ23" s="177">
        <f t="shared" ca="1" si="58"/>
        <v>0</v>
      </c>
      <c r="CK23" s="171">
        <f t="shared" ca="1" si="59"/>
        <v>0</v>
      </c>
    </row>
    <row r="24" spans="2:89" ht="21" customHeight="1" x14ac:dyDescent="0.25">
      <c r="B24" s="50">
        <v>21</v>
      </c>
      <c r="C24" s="51">
        <f>Jan!B28</f>
        <v>42024</v>
      </c>
      <c r="D24" s="52" t="str">
        <f t="shared" ca="1" si="0"/>
        <v/>
      </c>
      <c r="E24" s="53" t="str">
        <f t="shared" si="1"/>
        <v/>
      </c>
      <c r="F24" s="54">
        <f t="shared" si="73"/>
        <v>42055</v>
      </c>
      <c r="G24" s="52" t="str">
        <f t="shared" ca="1" si="2"/>
        <v/>
      </c>
      <c r="H24" s="53" t="str">
        <f t="shared" si="3"/>
        <v/>
      </c>
      <c r="I24" s="51">
        <f>Mrz!B28</f>
        <v>42083</v>
      </c>
      <c r="J24" s="52" t="str">
        <f t="shared" ca="1" si="4"/>
        <v/>
      </c>
      <c r="K24" s="53" t="str">
        <f t="shared" si="5"/>
        <v/>
      </c>
      <c r="L24" s="54">
        <f>Apr!B28</f>
        <v>42114</v>
      </c>
      <c r="M24" s="52" t="str">
        <f t="shared" si="6"/>
        <v/>
      </c>
      <c r="N24" s="53" t="str">
        <f t="shared" si="7"/>
        <v/>
      </c>
      <c r="O24" s="51">
        <f>Mai!B28</f>
        <v>42144</v>
      </c>
      <c r="P24" s="52" t="str">
        <f t="shared" ca="1" si="8"/>
        <v/>
      </c>
      <c r="Q24" s="53" t="str">
        <f t="shared" si="9"/>
        <v/>
      </c>
      <c r="R24" s="54">
        <f>Jun!B28</f>
        <v>42175</v>
      </c>
      <c r="S24" s="52" t="str">
        <f t="shared" ca="1" si="10"/>
        <v/>
      </c>
      <c r="T24" s="53" t="str">
        <f t="shared" si="11"/>
        <v/>
      </c>
      <c r="U24" s="51">
        <f>Jul!B28</f>
        <v>42205</v>
      </c>
      <c r="V24" s="52" t="str">
        <f t="shared" ca="1" si="12"/>
        <v/>
      </c>
      <c r="W24" s="53" t="str">
        <f t="shared" si="13"/>
        <v/>
      </c>
      <c r="X24" s="54">
        <f>Aug!B28</f>
        <v>42236</v>
      </c>
      <c r="Y24" s="52" t="str">
        <f t="shared" ca="1" si="14"/>
        <v/>
      </c>
      <c r="Z24" s="53" t="str">
        <f t="shared" si="15"/>
        <v/>
      </c>
      <c r="AA24" s="51">
        <f>Sep!B28</f>
        <v>42267</v>
      </c>
      <c r="AB24" s="52" t="str">
        <f t="shared" ca="1" si="16"/>
        <v/>
      </c>
      <c r="AC24" s="53" t="str">
        <f t="shared" si="17"/>
        <v/>
      </c>
      <c r="AD24" s="54">
        <f>Okt!B28</f>
        <v>42297</v>
      </c>
      <c r="AE24" s="52" t="str">
        <f t="shared" ca="1" si="18"/>
        <v/>
      </c>
      <c r="AF24" s="53" t="str">
        <f t="shared" si="19"/>
        <v/>
      </c>
      <c r="AG24" s="51">
        <f>Nov!B28</f>
        <v>42328</v>
      </c>
      <c r="AH24" s="52" t="str">
        <f t="shared" ca="1" si="20"/>
        <v/>
      </c>
      <c r="AI24" s="53" t="str">
        <f t="shared" si="21"/>
        <v/>
      </c>
      <c r="AJ24" s="51">
        <f>Dez!B28</f>
        <v>42358</v>
      </c>
      <c r="AK24" s="52" t="str">
        <f t="shared" ca="1" si="22"/>
        <v/>
      </c>
      <c r="AL24" s="55" t="str">
        <f t="shared" si="23"/>
        <v/>
      </c>
      <c r="AO24" s="179">
        <f t="shared" si="60"/>
        <v>21</v>
      </c>
      <c r="AP24" s="176">
        <f t="shared" si="61"/>
        <v>42024</v>
      </c>
      <c r="AQ24" s="177">
        <f t="shared" ca="1" si="24"/>
        <v>0</v>
      </c>
      <c r="AR24" s="177">
        <f t="shared" ca="1" si="25"/>
        <v>0</v>
      </c>
      <c r="AS24" s="170">
        <f t="shared" ca="1" si="26"/>
        <v>0</v>
      </c>
      <c r="AT24" s="176">
        <f t="shared" si="62"/>
        <v>42055</v>
      </c>
      <c r="AU24" s="177">
        <f t="shared" ca="1" si="27"/>
        <v>0</v>
      </c>
      <c r="AV24" s="177">
        <f t="shared" ca="1" si="28"/>
        <v>0</v>
      </c>
      <c r="AW24" s="170">
        <f t="shared" ca="1" si="29"/>
        <v>0</v>
      </c>
      <c r="AX24" s="176">
        <f t="shared" si="63"/>
        <v>42083</v>
      </c>
      <c r="AY24" s="177">
        <f t="shared" ca="1" si="30"/>
        <v>0</v>
      </c>
      <c r="AZ24" s="177">
        <f t="shared" ca="1" si="31"/>
        <v>0</v>
      </c>
      <c r="BA24" s="170">
        <f t="shared" ca="1" si="32"/>
        <v>0</v>
      </c>
      <c r="BB24" s="176">
        <f t="shared" si="64"/>
        <v>42114</v>
      </c>
      <c r="BC24" s="177">
        <f t="shared" ca="1" si="33"/>
        <v>0</v>
      </c>
      <c r="BD24" s="177">
        <f t="shared" ca="1" si="34"/>
        <v>0</v>
      </c>
      <c r="BE24" s="170">
        <f t="shared" ca="1" si="35"/>
        <v>0</v>
      </c>
      <c r="BF24" s="176">
        <f t="shared" si="65"/>
        <v>42144</v>
      </c>
      <c r="BG24" s="177">
        <f t="shared" ca="1" si="36"/>
        <v>0</v>
      </c>
      <c r="BH24" s="177">
        <f t="shared" ca="1" si="37"/>
        <v>0</v>
      </c>
      <c r="BI24" s="170">
        <f t="shared" ca="1" si="38"/>
        <v>0</v>
      </c>
      <c r="BJ24" s="176">
        <f t="shared" si="66"/>
        <v>42175</v>
      </c>
      <c r="BK24" s="177">
        <f t="shared" ca="1" si="39"/>
        <v>0</v>
      </c>
      <c r="BL24" s="177">
        <f t="shared" ca="1" si="40"/>
        <v>0</v>
      </c>
      <c r="BM24" s="170">
        <f t="shared" ca="1" si="41"/>
        <v>0</v>
      </c>
      <c r="BN24" s="176">
        <f t="shared" si="67"/>
        <v>42205</v>
      </c>
      <c r="BO24" s="177">
        <f t="shared" ca="1" si="42"/>
        <v>0</v>
      </c>
      <c r="BP24" s="177">
        <f t="shared" ca="1" si="43"/>
        <v>0</v>
      </c>
      <c r="BQ24" s="170">
        <f t="shared" ca="1" si="44"/>
        <v>0</v>
      </c>
      <c r="BR24" s="176">
        <f t="shared" si="68"/>
        <v>42236</v>
      </c>
      <c r="BS24" s="177">
        <f t="shared" ca="1" si="45"/>
        <v>0</v>
      </c>
      <c r="BT24" s="177">
        <f t="shared" ca="1" si="46"/>
        <v>0</v>
      </c>
      <c r="BU24" s="170">
        <f t="shared" ca="1" si="47"/>
        <v>0</v>
      </c>
      <c r="BV24" s="176">
        <f t="shared" si="69"/>
        <v>42267</v>
      </c>
      <c r="BW24" s="177">
        <f t="shared" ca="1" si="48"/>
        <v>0</v>
      </c>
      <c r="BX24" s="177">
        <f t="shared" ca="1" si="49"/>
        <v>0</v>
      </c>
      <c r="BY24" s="170">
        <f t="shared" ca="1" si="50"/>
        <v>0</v>
      </c>
      <c r="BZ24" s="176">
        <f t="shared" si="70"/>
        <v>42297</v>
      </c>
      <c r="CA24" s="177">
        <f t="shared" ca="1" si="51"/>
        <v>0</v>
      </c>
      <c r="CB24" s="177">
        <f t="shared" ca="1" si="52"/>
        <v>0</v>
      </c>
      <c r="CC24" s="170">
        <f t="shared" ca="1" si="53"/>
        <v>0</v>
      </c>
      <c r="CD24" s="176">
        <f t="shared" si="71"/>
        <v>42328</v>
      </c>
      <c r="CE24" s="177">
        <f t="shared" ca="1" si="54"/>
        <v>0</v>
      </c>
      <c r="CF24" s="177">
        <f t="shared" ca="1" si="55"/>
        <v>0</v>
      </c>
      <c r="CG24" s="170">
        <f t="shared" ca="1" si="56"/>
        <v>0</v>
      </c>
      <c r="CH24" s="176">
        <f t="shared" si="72"/>
        <v>42358</v>
      </c>
      <c r="CI24" s="177">
        <f t="shared" ca="1" si="57"/>
        <v>0</v>
      </c>
      <c r="CJ24" s="177">
        <f t="shared" ca="1" si="58"/>
        <v>0</v>
      </c>
      <c r="CK24" s="171">
        <f t="shared" ca="1" si="59"/>
        <v>0</v>
      </c>
    </row>
    <row r="25" spans="2:89" ht="21" customHeight="1" x14ac:dyDescent="0.25">
      <c r="B25" s="50">
        <v>22</v>
      </c>
      <c r="C25" s="51">
        <f>Jan!B29</f>
        <v>42025</v>
      </c>
      <c r="D25" s="52" t="str">
        <f t="shared" ca="1" si="0"/>
        <v/>
      </c>
      <c r="E25" s="53" t="str">
        <f t="shared" si="1"/>
        <v/>
      </c>
      <c r="F25" s="54">
        <f t="shared" si="73"/>
        <v>42056</v>
      </c>
      <c r="G25" s="52" t="str">
        <f t="shared" ca="1" si="2"/>
        <v/>
      </c>
      <c r="H25" s="53" t="str">
        <f t="shared" si="3"/>
        <v/>
      </c>
      <c r="I25" s="51">
        <f>Mrz!B29</f>
        <v>42084</v>
      </c>
      <c r="J25" s="52" t="str">
        <f t="shared" ca="1" si="4"/>
        <v/>
      </c>
      <c r="K25" s="53" t="str">
        <f t="shared" si="5"/>
        <v/>
      </c>
      <c r="L25" s="54">
        <f>Apr!B29</f>
        <v>42115</v>
      </c>
      <c r="M25" s="52" t="str">
        <f t="shared" si="6"/>
        <v/>
      </c>
      <c r="N25" s="53" t="str">
        <f t="shared" si="7"/>
        <v/>
      </c>
      <c r="O25" s="51">
        <f>Mai!B29</f>
        <v>42145</v>
      </c>
      <c r="P25" s="52" t="str">
        <f t="shared" ca="1" si="8"/>
        <v/>
      </c>
      <c r="Q25" s="53" t="str">
        <f t="shared" si="9"/>
        <v/>
      </c>
      <c r="R25" s="54">
        <f>Jun!B29</f>
        <v>42176</v>
      </c>
      <c r="S25" s="52" t="str">
        <f t="shared" ca="1" si="10"/>
        <v/>
      </c>
      <c r="T25" s="53" t="str">
        <f t="shared" si="11"/>
        <v/>
      </c>
      <c r="U25" s="51">
        <f>Jul!B29</f>
        <v>42206</v>
      </c>
      <c r="V25" s="52" t="str">
        <f t="shared" ca="1" si="12"/>
        <v/>
      </c>
      <c r="W25" s="53" t="str">
        <f t="shared" si="13"/>
        <v/>
      </c>
      <c r="X25" s="54">
        <f>Aug!B29</f>
        <v>42237</v>
      </c>
      <c r="Y25" s="52" t="str">
        <f t="shared" ca="1" si="14"/>
        <v/>
      </c>
      <c r="Z25" s="53" t="str">
        <f t="shared" si="15"/>
        <v/>
      </c>
      <c r="AA25" s="51">
        <f>Sep!B29</f>
        <v>42268</v>
      </c>
      <c r="AB25" s="52" t="str">
        <f t="shared" ca="1" si="16"/>
        <v/>
      </c>
      <c r="AC25" s="53" t="str">
        <f t="shared" si="17"/>
        <v/>
      </c>
      <c r="AD25" s="54">
        <f>Okt!B29</f>
        <v>42298</v>
      </c>
      <c r="AE25" s="52" t="str">
        <f t="shared" ca="1" si="18"/>
        <v/>
      </c>
      <c r="AF25" s="53" t="str">
        <f t="shared" si="19"/>
        <v/>
      </c>
      <c r="AG25" s="51">
        <f>Nov!B29</f>
        <v>42329</v>
      </c>
      <c r="AH25" s="52" t="str">
        <f t="shared" ca="1" si="20"/>
        <v/>
      </c>
      <c r="AI25" s="53" t="str">
        <f t="shared" si="21"/>
        <v/>
      </c>
      <c r="AJ25" s="51">
        <f>Dez!B29</f>
        <v>42359</v>
      </c>
      <c r="AK25" s="52" t="str">
        <f t="shared" ca="1" si="22"/>
        <v/>
      </c>
      <c r="AL25" s="55" t="str">
        <f t="shared" si="23"/>
        <v/>
      </c>
      <c r="AO25" s="179">
        <f t="shared" si="60"/>
        <v>22</v>
      </c>
      <c r="AP25" s="176">
        <f t="shared" si="61"/>
        <v>42025</v>
      </c>
      <c r="AQ25" s="177">
        <f t="shared" ca="1" si="24"/>
        <v>0</v>
      </c>
      <c r="AR25" s="177">
        <f t="shared" ca="1" si="25"/>
        <v>0</v>
      </c>
      <c r="AS25" s="170">
        <f t="shared" ca="1" si="26"/>
        <v>0</v>
      </c>
      <c r="AT25" s="176">
        <f t="shared" si="62"/>
        <v>42056</v>
      </c>
      <c r="AU25" s="177">
        <f t="shared" ca="1" si="27"/>
        <v>0</v>
      </c>
      <c r="AV25" s="177">
        <f t="shared" ca="1" si="28"/>
        <v>0</v>
      </c>
      <c r="AW25" s="170">
        <f t="shared" ca="1" si="29"/>
        <v>0</v>
      </c>
      <c r="AX25" s="176">
        <f t="shared" si="63"/>
        <v>42084</v>
      </c>
      <c r="AY25" s="177">
        <f t="shared" ca="1" si="30"/>
        <v>0</v>
      </c>
      <c r="AZ25" s="177">
        <f t="shared" ca="1" si="31"/>
        <v>0</v>
      </c>
      <c r="BA25" s="170">
        <f t="shared" ca="1" si="32"/>
        <v>0</v>
      </c>
      <c r="BB25" s="176">
        <f t="shared" si="64"/>
        <v>42115</v>
      </c>
      <c r="BC25" s="177">
        <f t="shared" ca="1" si="33"/>
        <v>0</v>
      </c>
      <c r="BD25" s="177">
        <f t="shared" ca="1" si="34"/>
        <v>0</v>
      </c>
      <c r="BE25" s="170">
        <f t="shared" ca="1" si="35"/>
        <v>0</v>
      </c>
      <c r="BF25" s="176">
        <f t="shared" si="65"/>
        <v>42145</v>
      </c>
      <c r="BG25" s="177">
        <f t="shared" ca="1" si="36"/>
        <v>0</v>
      </c>
      <c r="BH25" s="177">
        <f t="shared" ca="1" si="37"/>
        <v>0</v>
      </c>
      <c r="BI25" s="170">
        <f t="shared" ca="1" si="38"/>
        <v>0</v>
      </c>
      <c r="BJ25" s="176">
        <f t="shared" si="66"/>
        <v>42176</v>
      </c>
      <c r="BK25" s="177">
        <f t="shared" ca="1" si="39"/>
        <v>0</v>
      </c>
      <c r="BL25" s="177">
        <f t="shared" ca="1" si="40"/>
        <v>0</v>
      </c>
      <c r="BM25" s="170">
        <f t="shared" ca="1" si="41"/>
        <v>0</v>
      </c>
      <c r="BN25" s="176">
        <f t="shared" si="67"/>
        <v>42206</v>
      </c>
      <c r="BO25" s="177">
        <f t="shared" ca="1" si="42"/>
        <v>0</v>
      </c>
      <c r="BP25" s="177">
        <f t="shared" ca="1" si="43"/>
        <v>0</v>
      </c>
      <c r="BQ25" s="170">
        <f t="shared" ca="1" si="44"/>
        <v>0</v>
      </c>
      <c r="BR25" s="176">
        <f t="shared" si="68"/>
        <v>42237</v>
      </c>
      <c r="BS25" s="177">
        <f t="shared" ca="1" si="45"/>
        <v>0</v>
      </c>
      <c r="BT25" s="177">
        <f t="shared" ca="1" si="46"/>
        <v>0</v>
      </c>
      <c r="BU25" s="170">
        <f t="shared" ca="1" si="47"/>
        <v>0</v>
      </c>
      <c r="BV25" s="176">
        <f t="shared" si="69"/>
        <v>42268</v>
      </c>
      <c r="BW25" s="177">
        <f t="shared" ca="1" si="48"/>
        <v>0</v>
      </c>
      <c r="BX25" s="177">
        <f t="shared" ca="1" si="49"/>
        <v>0</v>
      </c>
      <c r="BY25" s="170">
        <f t="shared" ca="1" si="50"/>
        <v>0</v>
      </c>
      <c r="BZ25" s="176">
        <f t="shared" si="70"/>
        <v>42298</v>
      </c>
      <c r="CA25" s="177">
        <f t="shared" ca="1" si="51"/>
        <v>0</v>
      </c>
      <c r="CB25" s="177">
        <f t="shared" ca="1" si="52"/>
        <v>0</v>
      </c>
      <c r="CC25" s="170">
        <f t="shared" ca="1" si="53"/>
        <v>0</v>
      </c>
      <c r="CD25" s="176">
        <f t="shared" si="71"/>
        <v>42329</v>
      </c>
      <c r="CE25" s="177">
        <f t="shared" ca="1" si="54"/>
        <v>0</v>
      </c>
      <c r="CF25" s="177">
        <f t="shared" ca="1" si="55"/>
        <v>0</v>
      </c>
      <c r="CG25" s="170">
        <f t="shared" ca="1" si="56"/>
        <v>0</v>
      </c>
      <c r="CH25" s="176">
        <f t="shared" si="72"/>
        <v>42359</v>
      </c>
      <c r="CI25" s="177">
        <f t="shared" ca="1" si="57"/>
        <v>0</v>
      </c>
      <c r="CJ25" s="177">
        <f t="shared" ca="1" si="58"/>
        <v>0</v>
      </c>
      <c r="CK25" s="171">
        <f t="shared" ca="1" si="59"/>
        <v>0</v>
      </c>
    </row>
    <row r="26" spans="2:89" ht="21" customHeight="1" x14ac:dyDescent="0.25">
      <c r="B26" s="50">
        <v>23</v>
      </c>
      <c r="C26" s="51">
        <f>Jan!B30</f>
        <v>42026</v>
      </c>
      <c r="D26" s="52" t="str">
        <f t="shared" ca="1" si="0"/>
        <v/>
      </c>
      <c r="E26" s="53" t="str">
        <f t="shared" si="1"/>
        <v/>
      </c>
      <c r="F26" s="54">
        <f t="shared" si="73"/>
        <v>42057</v>
      </c>
      <c r="G26" s="52" t="str">
        <f t="shared" ca="1" si="2"/>
        <v/>
      </c>
      <c r="H26" s="53" t="str">
        <f t="shared" si="3"/>
        <v/>
      </c>
      <c r="I26" s="51">
        <f>Mrz!B30</f>
        <v>42085</v>
      </c>
      <c r="J26" s="52" t="str">
        <f t="shared" ca="1" si="4"/>
        <v/>
      </c>
      <c r="K26" s="53" t="str">
        <f t="shared" si="5"/>
        <v/>
      </c>
      <c r="L26" s="54">
        <f>Apr!B30</f>
        <v>42116</v>
      </c>
      <c r="M26" s="52" t="str">
        <f t="shared" ca="1" si="6"/>
        <v/>
      </c>
      <c r="N26" s="53" t="str">
        <f t="shared" si="7"/>
        <v/>
      </c>
      <c r="O26" s="51">
        <f>Mai!B30</f>
        <v>42146</v>
      </c>
      <c r="P26" s="52" t="str">
        <f t="shared" ca="1" si="8"/>
        <v/>
      </c>
      <c r="Q26" s="53" t="str">
        <f t="shared" si="9"/>
        <v/>
      </c>
      <c r="R26" s="54">
        <f>Jun!B30</f>
        <v>42177</v>
      </c>
      <c r="S26" s="52" t="str">
        <f t="shared" ca="1" si="10"/>
        <v/>
      </c>
      <c r="T26" s="53" t="str">
        <f t="shared" si="11"/>
        <v/>
      </c>
      <c r="U26" s="51">
        <f>Jul!B30</f>
        <v>42207</v>
      </c>
      <c r="V26" s="52" t="str">
        <f t="shared" ca="1" si="12"/>
        <v/>
      </c>
      <c r="W26" s="53" t="str">
        <f t="shared" si="13"/>
        <v/>
      </c>
      <c r="X26" s="54">
        <f>Aug!B30</f>
        <v>42238</v>
      </c>
      <c r="Y26" s="52" t="str">
        <f t="shared" ca="1" si="14"/>
        <v/>
      </c>
      <c r="Z26" s="53" t="str">
        <f t="shared" si="15"/>
        <v/>
      </c>
      <c r="AA26" s="51">
        <f>Sep!B30</f>
        <v>42269</v>
      </c>
      <c r="AB26" s="52" t="str">
        <f t="shared" ca="1" si="16"/>
        <v/>
      </c>
      <c r="AC26" s="53" t="str">
        <f t="shared" si="17"/>
        <v/>
      </c>
      <c r="AD26" s="54">
        <f>Okt!B30</f>
        <v>42299</v>
      </c>
      <c r="AE26" s="52" t="str">
        <f t="shared" ca="1" si="18"/>
        <v/>
      </c>
      <c r="AF26" s="53" t="str">
        <f t="shared" si="19"/>
        <v/>
      </c>
      <c r="AG26" s="51">
        <f>Nov!B30</f>
        <v>42330</v>
      </c>
      <c r="AH26" s="52" t="str">
        <f t="shared" ca="1" si="20"/>
        <v/>
      </c>
      <c r="AI26" s="53" t="str">
        <f t="shared" si="21"/>
        <v/>
      </c>
      <c r="AJ26" s="51">
        <f>Dez!B30</f>
        <v>42360</v>
      </c>
      <c r="AK26" s="52" t="str">
        <f t="shared" ca="1" si="22"/>
        <v/>
      </c>
      <c r="AL26" s="55" t="str">
        <f t="shared" si="23"/>
        <v/>
      </c>
      <c r="AO26" s="179">
        <f t="shared" si="60"/>
        <v>23</v>
      </c>
      <c r="AP26" s="176">
        <f t="shared" si="61"/>
        <v>42026</v>
      </c>
      <c r="AQ26" s="177">
        <f t="shared" ca="1" si="24"/>
        <v>0</v>
      </c>
      <c r="AR26" s="177">
        <f t="shared" ca="1" si="25"/>
        <v>0</v>
      </c>
      <c r="AS26" s="170">
        <f t="shared" ca="1" si="26"/>
        <v>0</v>
      </c>
      <c r="AT26" s="176">
        <f t="shared" si="62"/>
        <v>42057</v>
      </c>
      <c r="AU26" s="177">
        <f t="shared" ca="1" si="27"/>
        <v>0</v>
      </c>
      <c r="AV26" s="177">
        <f t="shared" ca="1" si="28"/>
        <v>0</v>
      </c>
      <c r="AW26" s="170">
        <f t="shared" ca="1" si="29"/>
        <v>0</v>
      </c>
      <c r="AX26" s="176">
        <f t="shared" si="63"/>
        <v>42085</v>
      </c>
      <c r="AY26" s="177">
        <f t="shared" ca="1" si="30"/>
        <v>0</v>
      </c>
      <c r="AZ26" s="177">
        <f t="shared" ca="1" si="31"/>
        <v>0</v>
      </c>
      <c r="BA26" s="170">
        <f t="shared" ca="1" si="32"/>
        <v>0</v>
      </c>
      <c r="BB26" s="176">
        <f t="shared" si="64"/>
        <v>42116</v>
      </c>
      <c r="BC26" s="177">
        <f t="shared" ca="1" si="33"/>
        <v>0</v>
      </c>
      <c r="BD26" s="177">
        <f t="shared" ca="1" si="34"/>
        <v>0</v>
      </c>
      <c r="BE26" s="170">
        <f t="shared" ca="1" si="35"/>
        <v>0</v>
      </c>
      <c r="BF26" s="176">
        <f t="shared" si="65"/>
        <v>42146</v>
      </c>
      <c r="BG26" s="177">
        <f t="shared" ca="1" si="36"/>
        <v>0</v>
      </c>
      <c r="BH26" s="177">
        <f t="shared" ca="1" si="37"/>
        <v>0</v>
      </c>
      <c r="BI26" s="170">
        <f t="shared" ca="1" si="38"/>
        <v>0</v>
      </c>
      <c r="BJ26" s="176">
        <f t="shared" si="66"/>
        <v>42177</v>
      </c>
      <c r="BK26" s="177">
        <f t="shared" ca="1" si="39"/>
        <v>0</v>
      </c>
      <c r="BL26" s="177">
        <f t="shared" ca="1" si="40"/>
        <v>0</v>
      </c>
      <c r="BM26" s="170">
        <f t="shared" ca="1" si="41"/>
        <v>0</v>
      </c>
      <c r="BN26" s="176">
        <f t="shared" si="67"/>
        <v>42207</v>
      </c>
      <c r="BO26" s="177">
        <f t="shared" ca="1" si="42"/>
        <v>0</v>
      </c>
      <c r="BP26" s="177">
        <f t="shared" ca="1" si="43"/>
        <v>0</v>
      </c>
      <c r="BQ26" s="170">
        <f t="shared" ca="1" si="44"/>
        <v>0</v>
      </c>
      <c r="BR26" s="176">
        <f t="shared" si="68"/>
        <v>42238</v>
      </c>
      <c r="BS26" s="177">
        <f t="shared" ca="1" si="45"/>
        <v>0</v>
      </c>
      <c r="BT26" s="177">
        <f t="shared" ca="1" si="46"/>
        <v>0</v>
      </c>
      <c r="BU26" s="170">
        <f t="shared" ca="1" si="47"/>
        <v>0</v>
      </c>
      <c r="BV26" s="176">
        <f t="shared" si="69"/>
        <v>42269</v>
      </c>
      <c r="BW26" s="177">
        <f t="shared" ca="1" si="48"/>
        <v>0</v>
      </c>
      <c r="BX26" s="177">
        <f t="shared" ca="1" si="49"/>
        <v>0</v>
      </c>
      <c r="BY26" s="170">
        <f t="shared" ca="1" si="50"/>
        <v>0</v>
      </c>
      <c r="BZ26" s="176">
        <f t="shared" si="70"/>
        <v>42299</v>
      </c>
      <c r="CA26" s="177">
        <f t="shared" ca="1" si="51"/>
        <v>0</v>
      </c>
      <c r="CB26" s="177">
        <f t="shared" ca="1" si="52"/>
        <v>0</v>
      </c>
      <c r="CC26" s="170">
        <f t="shared" ca="1" si="53"/>
        <v>0</v>
      </c>
      <c r="CD26" s="176">
        <f t="shared" si="71"/>
        <v>42330</v>
      </c>
      <c r="CE26" s="177">
        <f t="shared" ca="1" si="54"/>
        <v>0</v>
      </c>
      <c r="CF26" s="177">
        <f t="shared" ca="1" si="55"/>
        <v>0</v>
      </c>
      <c r="CG26" s="170">
        <f t="shared" ca="1" si="56"/>
        <v>0</v>
      </c>
      <c r="CH26" s="176">
        <f t="shared" si="72"/>
        <v>42360</v>
      </c>
      <c r="CI26" s="177">
        <f t="shared" ca="1" si="57"/>
        <v>0</v>
      </c>
      <c r="CJ26" s="177">
        <f t="shared" ca="1" si="58"/>
        <v>0</v>
      </c>
      <c r="CK26" s="171">
        <f t="shared" ca="1" si="59"/>
        <v>0</v>
      </c>
    </row>
    <row r="27" spans="2:89" ht="21" customHeight="1" x14ac:dyDescent="0.25">
      <c r="B27" s="50">
        <v>24</v>
      </c>
      <c r="C27" s="51">
        <f>Jan!B31</f>
        <v>42027</v>
      </c>
      <c r="D27" s="52" t="str">
        <f t="shared" ca="1" si="0"/>
        <v/>
      </c>
      <c r="E27" s="53" t="str">
        <f t="shared" si="1"/>
        <v/>
      </c>
      <c r="F27" s="54">
        <f t="shared" si="73"/>
        <v>42058</v>
      </c>
      <c r="G27" s="52" t="str">
        <f t="shared" ca="1" si="2"/>
        <v/>
      </c>
      <c r="H27" s="53" t="str">
        <f t="shared" si="3"/>
        <v/>
      </c>
      <c r="I27" s="51">
        <f>Mrz!B31</f>
        <v>42086</v>
      </c>
      <c r="J27" s="52" t="str">
        <f t="shared" ca="1" si="4"/>
        <v/>
      </c>
      <c r="K27" s="53" t="str">
        <f t="shared" si="5"/>
        <v/>
      </c>
      <c r="L27" s="54">
        <f>Apr!B31</f>
        <v>42117</v>
      </c>
      <c r="M27" s="52" t="str">
        <f t="shared" ca="1" si="6"/>
        <v/>
      </c>
      <c r="N27" s="53" t="str">
        <f t="shared" si="7"/>
        <v/>
      </c>
      <c r="O27" s="51">
        <f>Mai!B31</f>
        <v>42147</v>
      </c>
      <c r="P27" s="52" t="str">
        <f t="shared" ca="1" si="8"/>
        <v/>
      </c>
      <c r="Q27" s="53" t="str">
        <f t="shared" si="9"/>
        <v/>
      </c>
      <c r="R27" s="54">
        <f>Jun!B31</f>
        <v>42178</v>
      </c>
      <c r="S27" s="52" t="str">
        <f t="shared" ca="1" si="10"/>
        <v/>
      </c>
      <c r="T27" s="53" t="str">
        <f t="shared" si="11"/>
        <v/>
      </c>
      <c r="U27" s="51">
        <f>Jul!B31</f>
        <v>42208</v>
      </c>
      <c r="V27" s="52" t="str">
        <f t="shared" ca="1" si="12"/>
        <v/>
      </c>
      <c r="W27" s="53" t="str">
        <f t="shared" si="13"/>
        <v/>
      </c>
      <c r="X27" s="54">
        <f>Aug!B31</f>
        <v>42239</v>
      </c>
      <c r="Y27" s="52" t="str">
        <f t="shared" ca="1" si="14"/>
        <v/>
      </c>
      <c r="Z27" s="53" t="str">
        <f t="shared" si="15"/>
        <v/>
      </c>
      <c r="AA27" s="51">
        <f>Sep!B31</f>
        <v>42270</v>
      </c>
      <c r="AB27" s="52" t="str">
        <f t="shared" ca="1" si="16"/>
        <v/>
      </c>
      <c r="AC27" s="53" t="str">
        <f t="shared" si="17"/>
        <v/>
      </c>
      <c r="AD27" s="54">
        <f>Okt!B31</f>
        <v>42300</v>
      </c>
      <c r="AE27" s="52" t="str">
        <f t="shared" ca="1" si="18"/>
        <v/>
      </c>
      <c r="AF27" s="53" t="str">
        <f t="shared" si="19"/>
        <v/>
      </c>
      <c r="AG27" s="51">
        <f>Nov!B31</f>
        <v>42331</v>
      </c>
      <c r="AH27" s="52" t="str">
        <f t="shared" ca="1" si="20"/>
        <v/>
      </c>
      <c r="AI27" s="53" t="str">
        <f t="shared" si="21"/>
        <v/>
      </c>
      <c r="AJ27" s="51">
        <f>Dez!B31</f>
        <v>42361</v>
      </c>
      <c r="AK27" s="52" t="str">
        <f t="shared" si="22"/>
        <v/>
      </c>
      <c r="AL27" s="55" t="str">
        <f t="shared" si="23"/>
        <v/>
      </c>
      <c r="AO27" s="179">
        <f t="shared" si="60"/>
        <v>24</v>
      </c>
      <c r="AP27" s="176">
        <f t="shared" si="61"/>
        <v>42027</v>
      </c>
      <c r="AQ27" s="177">
        <f t="shared" ca="1" si="24"/>
        <v>0</v>
      </c>
      <c r="AR27" s="177">
        <f t="shared" ca="1" si="25"/>
        <v>0</v>
      </c>
      <c r="AS27" s="170">
        <f t="shared" ca="1" si="26"/>
        <v>0</v>
      </c>
      <c r="AT27" s="176">
        <f t="shared" si="62"/>
        <v>42058</v>
      </c>
      <c r="AU27" s="177">
        <f t="shared" ca="1" si="27"/>
        <v>0</v>
      </c>
      <c r="AV27" s="177">
        <f t="shared" ca="1" si="28"/>
        <v>0</v>
      </c>
      <c r="AW27" s="170">
        <f t="shared" ca="1" si="29"/>
        <v>0</v>
      </c>
      <c r="AX27" s="176">
        <f t="shared" si="63"/>
        <v>42086</v>
      </c>
      <c r="AY27" s="177">
        <f t="shared" ca="1" si="30"/>
        <v>0</v>
      </c>
      <c r="AZ27" s="177">
        <f t="shared" ca="1" si="31"/>
        <v>0</v>
      </c>
      <c r="BA27" s="170">
        <f t="shared" ca="1" si="32"/>
        <v>0</v>
      </c>
      <c r="BB27" s="176">
        <f t="shared" si="64"/>
        <v>42117</v>
      </c>
      <c r="BC27" s="177">
        <f t="shared" ca="1" si="33"/>
        <v>0</v>
      </c>
      <c r="BD27" s="177">
        <f t="shared" ca="1" si="34"/>
        <v>0</v>
      </c>
      <c r="BE27" s="170">
        <f t="shared" ca="1" si="35"/>
        <v>0</v>
      </c>
      <c r="BF27" s="176">
        <f t="shared" si="65"/>
        <v>42147</v>
      </c>
      <c r="BG27" s="177">
        <f t="shared" ca="1" si="36"/>
        <v>0</v>
      </c>
      <c r="BH27" s="177">
        <f t="shared" ca="1" si="37"/>
        <v>0</v>
      </c>
      <c r="BI27" s="170">
        <f t="shared" ca="1" si="38"/>
        <v>0</v>
      </c>
      <c r="BJ27" s="176">
        <f t="shared" si="66"/>
        <v>42178</v>
      </c>
      <c r="BK27" s="177">
        <f t="shared" ca="1" si="39"/>
        <v>0</v>
      </c>
      <c r="BL27" s="177">
        <f t="shared" ca="1" si="40"/>
        <v>0</v>
      </c>
      <c r="BM27" s="170">
        <f t="shared" ca="1" si="41"/>
        <v>0</v>
      </c>
      <c r="BN27" s="176">
        <f t="shared" si="67"/>
        <v>42208</v>
      </c>
      <c r="BO27" s="177">
        <f t="shared" ca="1" si="42"/>
        <v>0</v>
      </c>
      <c r="BP27" s="177">
        <f t="shared" ca="1" si="43"/>
        <v>0</v>
      </c>
      <c r="BQ27" s="170">
        <f t="shared" ca="1" si="44"/>
        <v>0</v>
      </c>
      <c r="BR27" s="176">
        <f t="shared" si="68"/>
        <v>42239</v>
      </c>
      <c r="BS27" s="177">
        <f t="shared" ca="1" si="45"/>
        <v>0</v>
      </c>
      <c r="BT27" s="177">
        <f t="shared" ca="1" si="46"/>
        <v>0</v>
      </c>
      <c r="BU27" s="170">
        <f t="shared" ca="1" si="47"/>
        <v>0</v>
      </c>
      <c r="BV27" s="176">
        <f t="shared" si="69"/>
        <v>42270</v>
      </c>
      <c r="BW27" s="177">
        <f t="shared" ca="1" si="48"/>
        <v>0</v>
      </c>
      <c r="BX27" s="177">
        <f t="shared" ca="1" si="49"/>
        <v>0</v>
      </c>
      <c r="BY27" s="170">
        <f t="shared" ca="1" si="50"/>
        <v>0</v>
      </c>
      <c r="BZ27" s="176">
        <f t="shared" si="70"/>
        <v>42300</v>
      </c>
      <c r="CA27" s="177">
        <f t="shared" ca="1" si="51"/>
        <v>0</v>
      </c>
      <c r="CB27" s="177">
        <f t="shared" ca="1" si="52"/>
        <v>0</v>
      </c>
      <c r="CC27" s="170">
        <f t="shared" ca="1" si="53"/>
        <v>0</v>
      </c>
      <c r="CD27" s="176">
        <f t="shared" si="71"/>
        <v>42331</v>
      </c>
      <c r="CE27" s="177">
        <f t="shared" ca="1" si="54"/>
        <v>0</v>
      </c>
      <c r="CF27" s="177">
        <f t="shared" ca="1" si="55"/>
        <v>0</v>
      </c>
      <c r="CG27" s="170">
        <f t="shared" ca="1" si="56"/>
        <v>0</v>
      </c>
      <c r="CH27" s="176">
        <f t="shared" si="72"/>
        <v>42361</v>
      </c>
      <c r="CI27" s="177">
        <f t="shared" ca="1" si="57"/>
        <v>0</v>
      </c>
      <c r="CJ27" s="177">
        <f t="shared" ca="1" si="58"/>
        <v>0</v>
      </c>
      <c r="CK27" s="171">
        <f t="shared" ca="1" si="59"/>
        <v>0</v>
      </c>
    </row>
    <row r="28" spans="2:89" ht="21" customHeight="1" x14ac:dyDescent="0.25">
      <c r="B28" s="50">
        <v>25</v>
      </c>
      <c r="C28" s="51">
        <f>Jan!B32</f>
        <v>42028</v>
      </c>
      <c r="D28" s="52" t="str">
        <f t="shared" ca="1" si="0"/>
        <v/>
      </c>
      <c r="E28" s="53" t="str">
        <f t="shared" si="1"/>
        <v/>
      </c>
      <c r="F28" s="54">
        <f t="shared" si="73"/>
        <v>42059</v>
      </c>
      <c r="G28" s="52" t="str">
        <f t="shared" ca="1" si="2"/>
        <v/>
      </c>
      <c r="H28" s="53" t="str">
        <f t="shared" si="3"/>
        <v/>
      </c>
      <c r="I28" s="51">
        <f>Mrz!B32</f>
        <v>42087</v>
      </c>
      <c r="J28" s="52" t="str">
        <f t="shared" ca="1" si="4"/>
        <v/>
      </c>
      <c r="K28" s="53" t="str">
        <f t="shared" si="5"/>
        <v/>
      </c>
      <c r="L28" s="54">
        <f>Apr!B32</f>
        <v>42118</v>
      </c>
      <c r="M28" s="52" t="str">
        <f t="shared" ca="1" si="6"/>
        <v/>
      </c>
      <c r="N28" s="53" t="str">
        <f t="shared" si="7"/>
        <v/>
      </c>
      <c r="O28" s="51">
        <f>Mai!B32</f>
        <v>42148</v>
      </c>
      <c r="P28" s="52" t="str">
        <f t="shared" ca="1" si="8"/>
        <v/>
      </c>
      <c r="Q28" s="53" t="str">
        <f t="shared" si="9"/>
        <v/>
      </c>
      <c r="R28" s="54">
        <f>Jun!B32</f>
        <v>42179</v>
      </c>
      <c r="S28" s="52" t="str">
        <f t="shared" ca="1" si="10"/>
        <v/>
      </c>
      <c r="T28" s="53" t="str">
        <f t="shared" si="11"/>
        <v/>
      </c>
      <c r="U28" s="51">
        <f>Jul!B32</f>
        <v>42209</v>
      </c>
      <c r="V28" s="52" t="str">
        <f t="shared" ca="1" si="12"/>
        <v/>
      </c>
      <c r="W28" s="53" t="str">
        <f t="shared" si="13"/>
        <v/>
      </c>
      <c r="X28" s="54">
        <f>Aug!B32</f>
        <v>42240</v>
      </c>
      <c r="Y28" s="52" t="str">
        <f t="shared" ca="1" si="14"/>
        <v/>
      </c>
      <c r="Z28" s="53" t="str">
        <f t="shared" si="15"/>
        <v/>
      </c>
      <c r="AA28" s="51">
        <f>Sep!B32</f>
        <v>42271</v>
      </c>
      <c r="AB28" s="52" t="str">
        <f t="shared" ca="1" si="16"/>
        <v/>
      </c>
      <c r="AC28" s="53" t="str">
        <f t="shared" si="17"/>
        <v/>
      </c>
      <c r="AD28" s="54">
        <f>Okt!B32</f>
        <v>42301</v>
      </c>
      <c r="AE28" s="52" t="str">
        <f t="shared" ca="1" si="18"/>
        <v/>
      </c>
      <c r="AF28" s="53" t="str">
        <f t="shared" si="19"/>
        <v/>
      </c>
      <c r="AG28" s="51">
        <f>Nov!B32</f>
        <v>42332</v>
      </c>
      <c r="AH28" s="52" t="str">
        <f t="shared" ca="1" si="20"/>
        <v/>
      </c>
      <c r="AI28" s="53" t="str">
        <f t="shared" si="21"/>
        <v/>
      </c>
      <c r="AJ28" s="51">
        <f>Dez!B32</f>
        <v>42362</v>
      </c>
      <c r="AK28" s="52" t="str">
        <f t="shared" si="22"/>
        <v/>
      </c>
      <c r="AL28" s="55" t="str">
        <f t="shared" si="23"/>
        <v/>
      </c>
      <c r="AO28" s="179">
        <f t="shared" si="60"/>
        <v>25</v>
      </c>
      <c r="AP28" s="176">
        <f t="shared" si="61"/>
        <v>42028</v>
      </c>
      <c r="AQ28" s="177">
        <f t="shared" ca="1" si="24"/>
        <v>0</v>
      </c>
      <c r="AR28" s="177">
        <f t="shared" ca="1" si="25"/>
        <v>0</v>
      </c>
      <c r="AS28" s="170">
        <f t="shared" ca="1" si="26"/>
        <v>0</v>
      </c>
      <c r="AT28" s="176">
        <f t="shared" si="62"/>
        <v>42059</v>
      </c>
      <c r="AU28" s="177">
        <f t="shared" ca="1" si="27"/>
        <v>0</v>
      </c>
      <c r="AV28" s="177">
        <f t="shared" ca="1" si="28"/>
        <v>0</v>
      </c>
      <c r="AW28" s="170">
        <f t="shared" ca="1" si="29"/>
        <v>0</v>
      </c>
      <c r="AX28" s="176">
        <f t="shared" si="63"/>
        <v>42087</v>
      </c>
      <c r="AY28" s="177">
        <f t="shared" ca="1" si="30"/>
        <v>0</v>
      </c>
      <c r="AZ28" s="177">
        <f t="shared" ca="1" si="31"/>
        <v>0</v>
      </c>
      <c r="BA28" s="170">
        <f t="shared" ca="1" si="32"/>
        <v>0</v>
      </c>
      <c r="BB28" s="176">
        <f t="shared" si="64"/>
        <v>42118</v>
      </c>
      <c r="BC28" s="177">
        <f t="shared" ca="1" si="33"/>
        <v>0</v>
      </c>
      <c r="BD28" s="177">
        <f t="shared" ca="1" si="34"/>
        <v>0</v>
      </c>
      <c r="BE28" s="170">
        <f t="shared" ca="1" si="35"/>
        <v>0</v>
      </c>
      <c r="BF28" s="176">
        <f t="shared" si="65"/>
        <v>42148</v>
      </c>
      <c r="BG28" s="177">
        <f t="shared" ca="1" si="36"/>
        <v>0</v>
      </c>
      <c r="BH28" s="177">
        <f t="shared" ca="1" si="37"/>
        <v>0</v>
      </c>
      <c r="BI28" s="170">
        <f t="shared" ca="1" si="38"/>
        <v>0</v>
      </c>
      <c r="BJ28" s="176">
        <f t="shared" si="66"/>
        <v>42179</v>
      </c>
      <c r="BK28" s="177">
        <f t="shared" ca="1" si="39"/>
        <v>0</v>
      </c>
      <c r="BL28" s="177">
        <f t="shared" ca="1" si="40"/>
        <v>0</v>
      </c>
      <c r="BM28" s="170">
        <f t="shared" ca="1" si="41"/>
        <v>0</v>
      </c>
      <c r="BN28" s="176">
        <f t="shared" si="67"/>
        <v>42209</v>
      </c>
      <c r="BO28" s="177">
        <f t="shared" ca="1" si="42"/>
        <v>0</v>
      </c>
      <c r="BP28" s="177">
        <f t="shared" ca="1" si="43"/>
        <v>0</v>
      </c>
      <c r="BQ28" s="170">
        <f t="shared" ca="1" si="44"/>
        <v>0</v>
      </c>
      <c r="BR28" s="176">
        <f t="shared" si="68"/>
        <v>42240</v>
      </c>
      <c r="BS28" s="177">
        <f t="shared" ca="1" si="45"/>
        <v>0</v>
      </c>
      <c r="BT28" s="177">
        <f t="shared" ca="1" si="46"/>
        <v>0</v>
      </c>
      <c r="BU28" s="170">
        <f t="shared" ca="1" si="47"/>
        <v>0</v>
      </c>
      <c r="BV28" s="176">
        <f t="shared" si="69"/>
        <v>42271</v>
      </c>
      <c r="BW28" s="177">
        <f t="shared" ca="1" si="48"/>
        <v>0</v>
      </c>
      <c r="BX28" s="177">
        <f t="shared" ca="1" si="49"/>
        <v>0</v>
      </c>
      <c r="BY28" s="170">
        <f t="shared" ca="1" si="50"/>
        <v>0</v>
      </c>
      <c r="BZ28" s="176">
        <f t="shared" si="70"/>
        <v>42301</v>
      </c>
      <c r="CA28" s="177">
        <f t="shared" ca="1" si="51"/>
        <v>0</v>
      </c>
      <c r="CB28" s="177">
        <f t="shared" ca="1" si="52"/>
        <v>0</v>
      </c>
      <c r="CC28" s="170">
        <f t="shared" ca="1" si="53"/>
        <v>0</v>
      </c>
      <c r="CD28" s="176">
        <f t="shared" si="71"/>
        <v>42332</v>
      </c>
      <c r="CE28" s="177">
        <f t="shared" ca="1" si="54"/>
        <v>0</v>
      </c>
      <c r="CF28" s="177">
        <f t="shared" ca="1" si="55"/>
        <v>0</v>
      </c>
      <c r="CG28" s="170">
        <f t="shared" ca="1" si="56"/>
        <v>0</v>
      </c>
      <c r="CH28" s="176">
        <f t="shared" si="72"/>
        <v>42362</v>
      </c>
      <c r="CI28" s="177">
        <f t="shared" ca="1" si="57"/>
        <v>0</v>
      </c>
      <c r="CJ28" s="177">
        <f t="shared" ca="1" si="58"/>
        <v>0</v>
      </c>
      <c r="CK28" s="171">
        <f t="shared" ca="1" si="59"/>
        <v>0</v>
      </c>
    </row>
    <row r="29" spans="2:89" ht="21" customHeight="1" x14ac:dyDescent="0.25">
      <c r="B29" s="50">
        <v>26</v>
      </c>
      <c r="C29" s="51">
        <f>Jan!B33</f>
        <v>42029</v>
      </c>
      <c r="D29" s="52" t="str">
        <f t="shared" ca="1" si="0"/>
        <v/>
      </c>
      <c r="E29" s="53" t="str">
        <f t="shared" si="1"/>
        <v/>
      </c>
      <c r="F29" s="54">
        <f t="shared" si="73"/>
        <v>42060</v>
      </c>
      <c r="G29" s="52" t="str">
        <f t="shared" ca="1" si="2"/>
        <v/>
      </c>
      <c r="H29" s="53" t="str">
        <f t="shared" si="3"/>
        <v/>
      </c>
      <c r="I29" s="51">
        <f>Mrz!B33</f>
        <v>42088</v>
      </c>
      <c r="J29" s="52" t="str">
        <f t="shared" ca="1" si="4"/>
        <v/>
      </c>
      <c r="K29" s="53" t="str">
        <f t="shared" si="5"/>
        <v/>
      </c>
      <c r="L29" s="54">
        <f>Apr!B33</f>
        <v>42119</v>
      </c>
      <c r="M29" s="52" t="str">
        <f t="shared" ca="1" si="6"/>
        <v/>
      </c>
      <c r="N29" s="53" t="str">
        <f t="shared" si="7"/>
        <v/>
      </c>
      <c r="O29" s="51">
        <f>Mai!B33</f>
        <v>42149</v>
      </c>
      <c r="P29" s="52" t="str">
        <f t="shared" ca="1" si="8"/>
        <v/>
      </c>
      <c r="Q29" s="53" t="str">
        <f t="shared" si="9"/>
        <v/>
      </c>
      <c r="R29" s="54">
        <f>Jun!B33</f>
        <v>42180</v>
      </c>
      <c r="S29" s="52" t="str">
        <f t="shared" ca="1" si="10"/>
        <v/>
      </c>
      <c r="T29" s="53" t="str">
        <f t="shared" si="11"/>
        <v/>
      </c>
      <c r="U29" s="51">
        <f>Jul!B33</f>
        <v>42210</v>
      </c>
      <c r="V29" s="52" t="str">
        <f t="shared" ca="1" si="12"/>
        <v/>
      </c>
      <c r="W29" s="53" t="str">
        <f t="shared" si="13"/>
        <v/>
      </c>
      <c r="X29" s="54">
        <f>Aug!B33</f>
        <v>42241</v>
      </c>
      <c r="Y29" s="52" t="str">
        <f t="shared" ca="1" si="14"/>
        <v/>
      </c>
      <c r="Z29" s="53" t="str">
        <f t="shared" si="15"/>
        <v/>
      </c>
      <c r="AA29" s="51">
        <f>Sep!B33</f>
        <v>42272</v>
      </c>
      <c r="AB29" s="52" t="str">
        <f t="shared" ca="1" si="16"/>
        <v/>
      </c>
      <c r="AC29" s="53" t="str">
        <f t="shared" si="17"/>
        <v/>
      </c>
      <c r="AD29" s="54">
        <f>Okt!B33</f>
        <v>42302</v>
      </c>
      <c r="AE29" s="52" t="str">
        <f t="shared" ca="1" si="18"/>
        <v/>
      </c>
      <c r="AF29" s="53" t="str">
        <f t="shared" si="19"/>
        <v/>
      </c>
      <c r="AG29" s="51">
        <f>Nov!B33</f>
        <v>42333</v>
      </c>
      <c r="AH29" s="52" t="str">
        <f t="shared" ca="1" si="20"/>
        <v/>
      </c>
      <c r="AI29" s="53" t="str">
        <f t="shared" si="21"/>
        <v/>
      </c>
      <c r="AJ29" s="51">
        <f>Dez!B33</f>
        <v>42363</v>
      </c>
      <c r="AK29" s="52" t="str">
        <f t="shared" si="22"/>
        <v/>
      </c>
      <c r="AL29" s="55" t="str">
        <f t="shared" si="23"/>
        <v/>
      </c>
      <c r="AO29" s="179">
        <f t="shared" si="60"/>
        <v>26</v>
      </c>
      <c r="AP29" s="176">
        <f t="shared" si="61"/>
        <v>42029</v>
      </c>
      <c r="AQ29" s="177">
        <f t="shared" ca="1" si="24"/>
        <v>0</v>
      </c>
      <c r="AR29" s="177">
        <f t="shared" ca="1" si="25"/>
        <v>0</v>
      </c>
      <c r="AS29" s="170">
        <f t="shared" ca="1" si="26"/>
        <v>0</v>
      </c>
      <c r="AT29" s="176">
        <f t="shared" si="62"/>
        <v>42060</v>
      </c>
      <c r="AU29" s="177">
        <f t="shared" ca="1" si="27"/>
        <v>0</v>
      </c>
      <c r="AV29" s="177">
        <f t="shared" ca="1" si="28"/>
        <v>0</v>
      </c>
      <c r="AW29" s="170">
        <f t="shared" ca="1" si="29"/>
        <v>0</v>
      </c>
      <c r="AX29" s="176">
        <f t="shared" si="63"/>
        <v>42088</v>
      </c>
      <c r="AY29" s="177">
        <f t="shared" ca="1" si="30"/>
        <v>0</v>
      </c>
      <c r="AZ29" s="177">
        <f t="shared" ca="1" si="31"/>
        <v>0</v>
      </c>
      <c r="BA29" s="170">
        <f t="shared" ca="1" si="32"/>
        <v>0</v>
      </c>
      <c r="BB29" s="176">
        <f t="shared" si="64"/>
        <v>42119</v>
      </c>
      <c r="BC29" s="177">
        <f t="shared" ca="1" si="33"/>
        <v>0</v>
      </c>
      <c r="BD29" s="177">
        <f t="shared" ca="1" si="34"/>
        <v>0</v>
      </c>
      <c r="BE29" s="170">
        <f t="shared" ca="1" si="35"/>
        <v>0</v>
      </c>
      <c r="BF29" s="176">
        <f t="shared" si="65"/>
        <v>42149</v>
      </c>
      <c r="BG29" s="177">
        <f t="shared" ca="1" si="36"/>
        <v>0</v>
      </c>
      <c r="BH29" s="177">
        <f t="shared" ca="1" si="37"/>
        <v>0</v>
      </c>
      <c r="BI29" s="170">
        <f t="shared" ca="1" si="38"/>
        <v>0</v>
      </c>
      <c r="BJ29" s="176">
        <f t="shared" si="66"/>
        <v>42180</v>
      </c>
      <c r="BK29" s="177">
        <f t="shared" ca="1" si="39"/>
        <v>0</v>
      </c>
      <c r="BL29" s="177">
        <f t="shared" ca="1" si="40"/>
        <v>0</v>
      </c>
      <c r="BM29" s="170">
        <f t="shared" ca="1" si="41"/>
        <v>0</v>
      </c>
      <c r="BN29" s="176">
        <f t="shared" si="67"/>
        <v>42210</v>
      </c>
      <c r="BO29" s="177">
        <f t="shared" ca="1" si="42"/>
        <v>0</v>
      </c>
      <c r="BP29" s="177">
        <f t="shared" ca="1" si="43"/>
        <v>0</v>
      </c>
      <c r="BQ29" s="170">
        <f t="shared" ca="1" si="44"/>
        <v>0</v>
      </c>
      <c r="BR29" s="176">
        <f t="shared" si="68"/>
        <v>42241</v>
      </c>
      <c r="BS29" s="177">
        <f t="shared" ca="1" si="45"/>
        <v>0</v>
      </c>
      <c r="BT29" s="177">
        <f t="shared" ca="1" si="46"/>
        <v>0</v>
      </c>
      <c r="BU29" s="170">
        <f t="shared" ca="1" si="47"/>
        <v>0</v>
      </c>
      <c r="BV29" s="176">
        <f t="shared" si="69"/>
        <v>42272</v>
      </c>
      <c r="BW29" s="177">
        <f t="shared" ca="1" si="48"/>
        <v>0</v>
      </c>
      <c r="BX29" s="177">
        <f t="shared" ca="1" si="49"/>
        <v>0</v>
      </c>
      <c r="BY29" s="170">
        <f t="shared" ca="1" si="50"/>
        <v>0</v>
      </c>
      <c r="BZ29" s="176">
        <f t="shared" si="70"/>
        <v>42302</v>
      </c>
      <c r="CA29" s="177">
        <f t="shared" ca="1" si="51"/>
        <v>0</v>
      </c>
      <c r="CB29" s="177">
        <f t="shared" ca="1" si="52"/>
        <v>0</v>
      </c>
      <c r="CC29" s="170">
        <f t="shared" ca="1" si="53"/>
        <v>0</v>
      </c>
      <c r="CD29" s="176">
        <f t="shared" si="71"/>
        <v>42333</v>
      </c>
      <c r="CE29" s="177">
        <f t="shared" ca="1" si="54"/>
        <v>0</v>
      </c>
      <c r="CF29" s="177">
        <f t="shared" ca="1" si="55"/>
        <v>0</v>
      </c>
      <c r="CG29" s="170">
        <f t="shared" ca="1" si="56"/>
        <v>0</v>
      </c>
      <c r="CH29" s="176">
        <f t="shared" si="72"/>
        <v>42363</v>
      </c>
      <c r="CI29" s="177">
        <f t="shared" ca="1" si="57"/>
        <v>0</v>
      </c>
      <c r="CJ29" s="177">
        <f t="shared" ca="1" si="58"/>
        <v>0</v>
      </c>
      <c r="CK29" s="171">
        <f t="shared" ca="1" si="59"/>
        <v>0</v>
      </c>
    </row>
    <row r="30" spans="2:89" ht="21" customHeight="1" x14ac:dyDescent="0.25">
      <c r="B30" s="50">
        <v>27</v>
      </c>
      <c r="C30" s="51">
        <f>Jan!B34</f>
        <v>42030</v>
      </c>
      <c r="D30" s="52" t="str">
        <f t="shared" ca="1" si="0"/>
        <v/>
      </c>
      <c r="E30" s="53" t="str">
        <f t="shared" si="1"/>
        <v/>
      </c>
      <c r="F30" s="54">
        <f t="shared" si="73"/>
        <v>42061</v>
      </c>
      <c r="G30" s="52" t="str">
        <f t="shared" ca="1" si="2"/>
        <v/>
      </c>
      <c r="H30" s="53" t="str">
        <f t="shared" si="3"/>
        <v/>
      </c>
      <c r="I30" s="51">
        <f>Mrz!B34</f>
        <v>42089</v>
      </c>
      <c r="J30" s="52" t="str">
        <f t="shared" ca="1" si="4"/>
        <v/>
      </c>
      <c r="K30" s="53" t="str">
        <f t="shared" si="5"/>
        <v/>
      </c>
      <c r="L30" s="54">
        <f>Apr!B34</f>
        <v>42120</v>
      </c>
      <c r="M30" s="52" t="str">
        <f t="shared" ca="1" si="6"/>
        <v/>
      </c>
      <c r="N30" s="53" t="str">
        <f t="shared" si="7"/>
        <v/>
      </c>
      <c r="O30" s="51">
        <f>Mai!B34</f>
        <v>42150</v>
      </c>
      <c r="P30" s="52" t="str">
        <f t="shared" ca="1" si="8"/>
        <v/>
      </c>
      <c r="Q30" s="53" t="str">
        <f t="shared" si="9"/>
        <v/>
      </c>
      <c r="R30" s="54">
        <f>Jun!B34</f>
        <v>42181</v>
      </c>
      <c r="S30" s="52" t="str">
        <f t="shared" ca="1" si="10"/>
        <v/>
      </c>
      <c r="T30" s="53" t="str">
        <f t="shared" si="11"/>
        <v/>
      </c>
      <c r="U30" s="51">
        <f>Jul!B34</f>
        <v>42211</v>
      </c>
      <c r="V30" s="52" t="str">
        <f t="shared" ca="1" si="12"/>
        <v/>
      </c>
      <c r="W30" s="53" t="str">
        <f t="shared" si="13"/>
        <v/>
      </c>
      <c r="X30" s="54">
        <f>Aug!B34</f>
        <v>42242</v>
      </c>
      <c r="Y30" s="52" t="str">
        <f t="shared" ca="1" si="14"/>
        <v/>
      </c>
      <c r="Z30" s="53" t="str">
        <f t="shared" si="15"/>
        <v/>
      </c>
      <c r="AA30" s="51">
        <f>Sep!B34</f>
        <v>42273</v>
      </c>
      <c r="AB30" s="52" t="str">
        <f t="shared" ca="1" si="16"/>
        <v/>
      </c>
      <c r="AC30" s="53" t="str">
        <f t="shared" si="17"/>
        <v/>
      </c>
      <c r="AD30" s="54">
        <f>Okt!B34</f>
        <v>42303</v>
      </c>
      <c r="AE30" s="52" t="str">
        <f t="shared" ca="1" si="18"/>
        <v/>
      </c>
      <c r="AF30" s="53" t="str">
        <f t="shared" si="19"/>
        <v/>
      </c>
      <c r="AG30" s="51">
        <f>Nov!B34</f>
        <v>42334</v>
      </c>
      <c r="AH30" s="52" t="str">
        <f t="shared" ca="1" si="20"/>
        <v/>
      </c>
      <c r="AI30" s="53" t="str">
        <f t="shared" si="21"/>
        <v/>
      </c>
      <c r="AJ30" s="51">
        <f>Dez!B34</f>
        <v>42364</v>
      </c>
      <c r="AK30" s="52" t="str">
        <f t="shared" ca="1" si="22"/>
        <v/>
      </c>
      <c r="AL30" s="55" t="str">
        <f t="shared" si="23"/>
        <v/>
      </c>
      <c r="AO30" s="179">
        <f t="shared" si="60"/>
        <v>27</v>
      </c>
      <c r="AP30" s="176">
        <f t="shared" si="61"/>
        <v>42030</v>
      </c>
      <c r="AQ30" s="177">
        <f t="shared" ca="1" si="24"/>
        <v>0</v>
      </c>
      <c r="AR30" s="177">
        <f t="shared" ca="1" si="25"/>
        <v>0</v>
      </c>
      <c r="AS30" s="170">
        <f t="shared" ca="1" si="26"/>
        <v>0</v>
      </c>
      <c r="AT30" s="176">
        <f t="shared" si="62"/>
        <v>42061</v>
      </c>
      <c r="AU30" s="177">
        <f t="shared" ca="1" si="27"/>
        <v>0</v>
      </c>
      <c r="AV30" s="177">
        <f t="shared" ca="1" si="28"/>
        <v>0</v>
      </c>
      <c r="AW30" s="170">
        <f t="shared" ca="1" si="29"/>
        <v>0</v>
      </c>
      <c r="AX30" s="176">
        <f t="shared" si="63"/>
        <v>42089</v>
      </c>
      <c r="AY30" s="177">
        <f t="shared" ca="1" si="30"/>
        <v>0</v>
      </c>
      <c r="AZ30" s="177">
        <f t="shared" ca="1" si="31"/>
        <v>0</v>
      </c>
      <c r="BA30" s="170">
        <f t="shared" ca="1" si="32"/>
        <v>0</v>
      </c>
      <c r="BB30" s="176">
        <f t="shared" si="64"/>
        <v>42120</v>
      </c>
      <c r="BC30" s="177">
        <f t="shared" ca="1" si="33"/>
        <v>0</v>
      </c>
      <c r="BD30" s="177">
        <f t="shared" ca="1" si="34"/>
        <v>0</v>
      </c>
      <c r="BE30" s="170">
        <f t="shared" ca="1" si="35"/>
        <v>0</v>
      </c>
      <c r="BF30" s="176">
        <f t="shared" si="65"/>
        <v>42150</v>
      </c>
      <c r="BG30" s="177">
        <f t="shared" ca="1" si="36"/>
        <v>0</v>
      </c>
      <c r="BH30" s="177">
        <f t="shared" ca="1" si="37"/>
        <v>0</v>
      </c>
      <c r="BI30" s="170">
        <f t="shared" ca="1" si="38"/>
        <v>0</v>
      </c>
      <c r="BJ30" s="176">
        <f t="shared" si="66"/>
        <v>42181</v>
      </c>
      <c r="BK30" s="177">
        <f t="shared" ca="1" si="39"/>
        <v>0</v>
      </c>
      <c r="BL30" s="177">
        <f t="shared" ca="1" si="40"/>
        <v>0</v>
      </c>
      <c r="BM30" s="170">
        <f t="shared" ca="1" si="41"/>
        <v>0</v>
      </c>
      <c r="BN30" s="176">
        <f t="shared" si="67"/>
        <v>42211</v>
      </c>
      <c r="BO30" s="177">
        <f t="shared" ca="1" si="42"/>
        <v>0</v>
      </c>
      <c r="BP30" s="177">
        <f t="shared" ca="1" si="43"/>
        <v>0</v>
      </c>
      <c r="BQ30" s="170">
        <f t="shared" ca="1" si="44"/>
        <v>0</v>
      </c>
      <c r="BR30" s="176">
        <f t="shared" si="68"/>
        <v>42242</v>
      </c>
      <c r="BS30" s="177">
        <f t="shared" ca="1" si="45"/>
        <v>0</v>
      </c>
      <c r="BT30" s="177">
        <f t="shared" ca="1" si="46"/>
        <v>0</v>
      </c>
      <c r="BU30" s="170">
        <f t="shared" ca="1" si="47"/>
        <v>0</v>
      </c>
      <c r="BV30" s="176">
        <f t="shared" si="69"/>
        <v>42273</v>
      </c>
      <c r="BW30" s="177">
        <f t="shared" ca="1" si="48"/>
        <v>0</v>
      </c>
      <c r="BX30" s="177">
        <f t="shared" ca="1" si="49"/>
        <v>0</v>
      </c>
      <c r="BY30" s="170">
        <f t="shared" ca="1" si="50"/>
        <v>0</v>
      </c>
      <c r="BZ30" s="176">
        <f t="shared" si="70"/>
        <v>42303</v>
      </c>
      <c r="CA30" s="177">
        <f t="shared" ca="1" si="51"/>
        <v>0</v>
      </c>
      <c r="CB30" s="177">
        <f t="shared" ca="1" si="52"/>
        <v>0</v>
      </c>
      <c r="CC30" s="170">
        <f t="shared" ca="1" si="53"/>
        <v>0</v>
      </c>
      <c r="CD30" s="176">
        <f t="shared" si="71"/>
        <v>42334</v>
      </c>
      <c r="CE30" s="177">
        <f t="shared" ca="1" si="54"/>
        <v>0</v>
      </c>
      <c r="CF30" s="177">
        <f t="shared" ca="1" si="55"/>
        <v>0</v>
      </c>
      <c r="CG30" s="170">
        <f t="shared" ca="1" si="56"/>
        <v>0</v>
      </c>
      <c r="CH30" s="176">
        <f t="shared" si="72"/>
        <v>42364</v>
      </c>
      <c r="CI30" s="177">
        <f t="shared" ca="1" si="57"/>
        <v>0</v>
      </c>
      <c r="CJ30" s="177">
        <f t="shared" ca="1" si="58"/>
        <v>0</v>
      </c>
      <c r="CK30" s="171">
        <f t="shared" ca="1" si="59"/>
        <v>0</v>
      </c>
    </row>
    <row r="31" spans="2:89" ht="21" customHeight="1" x14ac:dyDescent="0.25">
      <c r="B31" s="50">
        <v>28</v>
      </c>
      <c r="C31" s="51">
        <f>Jan!B35</f>
        <v>42031</v>
      </c>
      <c r="D31" s="52" t="str">
        <f t="shared" ca="1" si="0"/>
        <v/>
      </c>
      <c r="E31" s="53" t="str">
        <f t="shared" si="1"/>
        <v/>
      </c>
      <c r="F31" s="54">
        <f t="shared" si="73"/>
        <v>42062</v>
      </c>
      <c r="G31" s="52" t="str">
        <f t="shared" ca="1" si="2"/>
        <v/>
      </c>
      <c r="H31" s="53" t="str">
        <f t="shared" si="3"/>
        <v/>
      </c>
      <c r="I31" s="51">
        <f>Mrz!B35</f>
        <v>42090</v>
      </c>
      <c r="J31" s="52" t="str">
        <f t="shared" ca="1" si="4"/>
        <v/>
      </c>
      <c r="K31" s="53" t="str">
        <f t="shared" si="5"/>
        <v/>
      </c>
      <c r="L31" s="54">
        <f>Apr!B35</f>
        <v>42121</v>
      </c>
      <c r="M31" s="52" t="str">
        <f t="shared" ca="1" si="6"/>
        <v/>
      </c>
      <c r="N31" s="53" t="str">
        <f t="shared" si="7"/>
        <v/>
      </c>
      <c r="O31" s="51">
        <f>Mai!B35</f>
        <v>42151</v>
      </c>
      <c r="P31" s="52" t="str">
        <f t="shared" ca="1" si="8"/>
        <v/>
      </c>
      <c r="Q31" s="53" t="str">
        <f t="shared" si="9"/>
        <v/>
      </c>
      <c r="R31" s="54">
        <f>Jun!B35</f>
        <v>42182</v>
      </c>
      <c r="S31" s="52" t="str">
        <f t="shared" ca="1" si="10"/>
        <v/>
      </c>
      <c r="T31" s="53" t="str">
        <f t="shared" si="11"/>
        <v/>
      </c>
      <c r="U31" s="51">
        <f>Jul!B35</f>
        <v>42212</v>
      </c>
      <c r="V31" s="52" t="str">
        <f t="shared" ca="1" si="12"/>
        <v/>
      </c>
      <c r="W31" s="53" t="str">
        <f t="shared" si="13"/>
        <v/>
      </c>
      <c r="X31" s="54">
        <f>Aug!B35</f>
        <v>42243</v>
      </c>
      <c r="Y31" s="52" t="str">
        <f t="shared" ca="1" si="14"/>
        <v/>
      </c>
      <c r="Z31" s="53" t="str">
        <f t="shared" si="15"/>
        <v/>
      </c>
      <c r="AA31" s="51">
        <f>Sep!B35</f>
        <v>42274</v>
      </c>
      <c r="AB31" s="52" t="str">
        <f t="shared" ca="1" si="16"/>
        <v/>
      </c>
      <c r="AC31" s="53" t="str">
        <f t="shared" si="17"/>
        <v/>
      </c>
      <c r="AD31" s="54">
        <f>Okt!B35</f>
        <v>42304</v>
      </c>
      <c r="AE31" s="52" t="str">
        <f t="shared" ca="1" si="18"/>
        <v/>
      </c>
      <c r="AF31" s="53" t="str">
        <f t="shared" si="19"/>
        <v/>
      </c>
      <c r="AG31" s="51">
        <f>Nov!B35</f>
        <v>42335</v>
      </c>
      <c r="AH31" s="52" t="str">
        <f t="shared" ca="1" si="20"/>
        <v/>
      </c>
      <c r="AI31" s="53" t="str">
        <f t="shared" si="21"/>
        <v/>
      </c>
      <c r="AJ31" s="51">
        <f>Dez!B35</f>
        <v>42365</v>
      </c>
      <c r="AK31" s="52" t="str">
        <f t="shared" ca="1" si="22"/>
        <v/>
      </c>
      <c r="AL31" s="55" t="str">
        <f t="shared" si="23"/>
        <v/>
      </c>
      <c r="AO31" s="179">
        <f t="shared" si="60"/>
        <v>28</v>
      </c>
      <c r="AP31" s="176">
        <f t="shared" si="61"/>
        <v>42031</v>
      </c>
      <c r="AQ31" s="177">
        <f t="shared" ca="1" si="24"/>
        <v>0</v>
      </c>
      <c r="AR31" s="177">
        <f t="shared" ca="1" si="25"/>
        <v>0</v>
      </c>
      <c r="AS31" s="170">
        <f t="shared" ca="1" si="26"/>
        <v>0</v>
      </c>
      <c r="AT31" s="176">
        <f t="shared" si="62"/>
        <v>42062</v>
      </c>
      <c r="AU31" s="177">
        <f t="shared" ca="1" si="27"/>
        <v>0</v>
      </c>
      <c r="AV31" s="177">
        <f t="shared" ca="1" si="28"/>
        <v>0</v>
      </c>
      <c r="AW31" s="170">
        <f t="shared" ca="1" si="29"/>
        <v>0</v>
      </c>
      <c r="AX31" s="176">
        <f t="shared" si="63"/>
        <v>42090</v>
      </c>
      <c r="AY31" s="177">
        <f t="shared" ca="1" si="30"/>
        <v>0</v>
      </c>
      <c r="AZ31" s="177">
        <f t="shared" ca="1" si="31"/>
        <v>0</v>
      </c>
      <c r="BA31" s="170">
        <f t="shared" ca="1" si="32"/>
        <v>0</v>
      </c>
      <c r="BB31" s="176">
        <f t="shared" si="64"/>
        <v>42121</v>
      </c>
      <c r="BC31" s="177">
        <f t="shared" ca="1" si="33"/>
        <v>0</v>
      </c>
      <c r="BD31" s="177">
        <f t="shared" ca="1" si="34"/>
        <v>0</v>
      </c>
      <c r="BE31" s="170">
        <f t="shared" ca="1" si="35"/>
        <v>0</v>
      </c>
      <c r="BF31" s="176">
        <f t="shared" si="65"/>
        <v>42151</v>
      </c>
      <c r="BG31" s="177">
        <f t="shared" ca="1" si="36"/>
        <v>0</v>
      </c>
      <c r="BH31" s="177">
        <f t="shared" ca="1" si="37"/>
        <v>0</v>
      </c>
      <c r="BI31" s="170">
        <f t="shared" ca="1" si="38"/>
        <v>0</v>
      </c>
      <c r="BJ31" s="176">
        <f t="shared" si="66"/>
        <v>42182</v>
      </c>
      <c r="BK31" s="177">
        <f t="shared" ca="1" si="39"/>
        <v>0</v>
      </c>
      <c r="BL31" s="177">
        <f t="shared" ca="1" si="40"/>
        <v>0</v>
      </c>
      <c r="BM31" s="170">
        <f t="shared" ca="1" si="41"/>
        <v>0</v>
      </c>
      <c r="BN31" s="176">
        <f t="shared" si="67"/>
        <v>42212</v>
      </c>
      <c r="BO31" s="177">
        <f t="shared" ca="1" si="42"/>
        <v>0</v>
      </c>
      <c r="BP31" s="177">
        <f t="shared" ca="1" si="43"/>
        <v>0</v>
      </c>
      <c r="BQ31" s="170">
        <f t="shared" ca="1" si="44"/>
        <v>0</v>
      </c>
      <c r="BR31" s="176">
        <f t="shared" si="68"/>
        <v>42243</v>
      </c>
      <c r="BS31" s="177">
        <f t="shared" ca="1" si="45"/>
        <v>0</v>
      </c>
      <c r="BT31" s="177">
        <f t="shared" ca="1" si="46"/>
        <v>0</v>
      </c>
      <c r="BU31" s="170">
        <f t="shared" ca="1" si="47"/>
        <v>0</v>
      </c>
      <c r="BV31" s="176">
        <f t="shared" si="69"/>
        <v>42274</v>
      </c>
      <c r="BW31" s="177">
        <f t="shared" ca="1" si="48"/>
        <v>0</v>
      </c>
      <c r="BX31" s="177">
        <f t="shared" ca="1" si="49"/>
        <v>0</v>
      </c>
      <c r="BY31" s="170">
        <f t="shared" ca="1" si="50"/>
        <v>0</v>
      </c>
      <c r="BZ31" s="176">
        <f t="shared" si="70"/>
        <v>42304</v>
      </c>
      <c r="CA31" s="177">
        <f t="shared" ca="1" si="51"/>
        <v>0</v>
      </c>
      <c r="CB31" s="177">
        <f t="shared" ca="1" si="52"/>
        <v>0</v>
      </c>
      <c r="CC31" s="170">
        <f t="shared" ca="1" si="53"/>
        <v>0</v>
      </c>
      <c r="CD31" s="176">
        <f t="shared" si="71"/>
        <v>42335</v>
      </c>
      <c r="CE31" s="177">
        <f t="shared" ca="1" si="54"/>
        <v>0</v>
      </c>
      <c r="CF31" s="177">
        <f t="shared" ca="1" si="55"/>
        <v>0</v>
      </c>
      <c r="CG31" s="170">
        <f t="shared" ca="1" si="56"/>
        <v>0</v>
      </c>
      <c r="CH31" s="176">
        <f t="shared" si="72"/>
        <v>42365</v>
      </c>
      <c r="CI31" s="177">
        <f t="shared" ca="1" si="57"/>
        <v>0</v>
      </c>
      <c r="CJ31" s="177">
        <f t="shared" ca="1" si="58"/>
        <v>0</v>
      </c>
      <c r="CK31" s="171">
        <f t="shared" ca="1" si="59"/>
        <v>0</v>
      </c>
    </row>
    <row r="32" spans="2:89" ht="21" customHeight="1" x14ac:dyDescent="0.25">
      <c r="B32" s="50">
        <v>29</v>
      </c>
      <c r="C32" s="51">
        <f>Jan!B36</f>
        <v>42032</v>
      </c>
      <c r="D32" s="52" t="str">
        <f t="shared" ca="1" si="0"/>
        <v/>
      </c>
      <c r="E32" s="53" t="str">
        <f t="shared" si="1"/>
        <v/>
      </c>
      <c r="F32" s="54" t="str">
        <f>IF(F31+1=DATEVALUE("01.03."&amp;YEAR(Jahr)),"",F31+1)</f>
        <v/>
      </c>
      <c r="G32" s="52" t="str">
        <f t="shared" si="2"/>
        <v/>
      </c>
      <c r="H32" s="53" t="str">
        <f t="shared" si="3"/>
        <v/>
      </c>
      <c r="I32" s="51">
        <f>Mrz!B36</f>
        <v>42091</v>
      </c>
      <c r="J32" s="52" t="str">
        <f t="shared" ca="1" si="4"/>
        <v/>
      </c>
      <c r="K32" s="53" t="str">
        <f t="shared" si="5"/>
        <v/>
      </c>
      <c r="L32" s="54">
        <f>Apr!B36</f>
        <v>42122</v>
      </c>
      <c r="M32" s="52" t="str">
        <f t="shared" ca="1" si="6"/>
        <v/>
      </c>
      <c r="N32" s="53" t="str">
        <f t="shared" si="7"/>
        <v/>
      </c>
      <c r="O32" s="51">
        <f>Mai!B36</f>
        <v>42152</v>
      </c>
      <c r="P32" s="52" t="str">
        <f t="shared" ca="1" si="8"/>
        <v/>
      </c>
      <c r="Q32" s="53" t="str">
        <f t="shared" si="9"/>
        <v/>
      </c>
      <c r="R32" s="54">
        <f>Jun!B36</f>
        <v>42183</v>
      </c>
      <c r="S32" s="52" t="str">
        <f t="shared" ca="1" si="10"/>
        <v/>
      </c>
      <c r="T32" s="53" t="str">
        <f t="shared" si="11"/>
        <v/>
      </c>
      <c r="U32" s="51">
        <f>Jul!B36</f>
        <v>42213</v>
      </c>
      <c r="V32" s="52" t="str">
        <f t="shared" ca="1" si="12"/>
        <v/>
      </c>
      <c r="W32" s="53" t="str">
        <f t="shared" si="13"/>
        <v/>
      </c>
      <c r="X32" s="54">
        <f>Aug!B36</f>
        <v>42244</v>
      </c>
      <c r="Y32" s="52" t="str">
        <f t="shared" ca="1" si="14"/>
        <v/>
      </c>
      <c r="Z32" s="53" t="str">
        <f t="shared" si="15"/>
        <v/>
      </c>
      <c r="AA32" s="51">
        <f>Sep!B36</f>
        <v>42275</v>
      </c>
      <c r="AB32" s="52" t="str">
        <f t="shared" ca="1" si="16"/>
        <v/>
      </c>
      <c r="AC32" s="53" t="str">
        <f t="shared" si="17"/>
        <v/>
      </c>
      <c r="AD32" s="54">
        <f>Okt!B36</f>
        <v>42305</v>
      </c>
      <c r="AE32" s="52" t="str">
        <f t="shared" ca="1" si="18"/>
        <v/>
      </c>
      <c r="AF32" s="53" t="str">
        <f t="shared" si="19"/>
        <v/>
      </c>
      <c r="AG32" s="51">
        <f>Nov!B36</f>
        <v>42336</v>
      </c>
      <c r="AH32" s="52" t="str">
        <f t="shared" ca="1" si="20"/>
        <v/>
      </c>
      <c r="AI32" s="53" t="str">
        <f t="shared" si="21"/>
        <v/>
      </c>
      <c r="AJ32" s="51">
        <f>Dez!B36</f>
        <v>42366</v>
      </c>
      <c r="AK32" s="52" t="str">
        <f t="shared" ca="1" si="22"/>
        <v/>
      </c>
      <c r="AL32" s="55" t="str">
        <f t="shared" si="23"/>
        <v/>
      </c>
      <c r="AO32" s="179">
        <f t="shared" si="60"/>
        <v>29</v>
      </c>
      <c r="AP32" s="176">
        <f t="shared" si="61"/>
        <v>42032</v>
      </c>
      <c r="AQ32" s="177">
        <f t="shared" ca="1" si="24"/>
        <v>0</v>
      </c>
      <c r="AR32" s="177">
        <f t="shared" ca="1" si="25"/>
        <v>0</v>
      </c>
      <c r="AS32" s="170">
        <f t="shared" ca="1" si="26"/>
        <v>0</v>
      </c>
      <c r="AT32" s="176" t="str">
        <f t="shared" si="62"/>
        <v/>
      </c>
      <c r="AU32" s="177">
        <f ca="1">IF(ISERR(IF(AND(TODAY()&gt;=AT32,VLOOKUP(AT32,AZ_Feb,55,FALSE)=2),1,0)),0,IF(AND(TODAY()&gt;=AT32,VLOOKUP(AT32,AZ_Feb,55,FALSE)=2),1,0))</f>
        <v>0</v>
      </c>
      <c r="AV32" s="177">
        <f ca="1">IF(ISERR(IF(AND(TODAY()&gt;=AT32,VLOOKUP(AT32,AZ_Feb,55,FALSE)=3),1,0)),0,IF(AND(TODAY()&gt;=AT32,VLOOKUP(AT32,AZ_Feb,55,FALSE)=3),1,0))</f>
        <v>0</v>
      </c>
      <c r="AW32" s="178" t="str">
        <f>IF(AT32="","",VLOOKUP(AT32,AZ_Feb,54,FALSE))</f>
        <v/>
      </c>
      <c r="AX32" s="176">
        <f t="shared" si="63"/>
        <v>42091</v>
      </c>
      <c r="AY32" s="177">
        <f t="shared" ca="1" si="30"/>
        <v>0</v>
      </c>
      <c r="AZ32" s="177">
        <f t="shared" ca="1" si="31"/>
        <v>0</v>
      </c>
      <c r="BA32" s="170">
        <f t="shared" ca="1" si="32"/>
        <v>0</v>
      </c>
      <c r="BB32" s="176">
        <f t="shared" si="64"/>
        <v>42122</v>
      </c>
      <c r="BC32" s="177">
        <f t="shared" ca="1" si="33"/>
        <v>0</v>
      </c>
      <c r="BD32" s="177">
        <f t="shared" ca="1" si="34"/>
        <v>0</v>
      </c>
      <c r="BE32" s="170">
        <f t="shared" ca="1" si="35"/>
        <v>0</v>
      </c>
      <c r="BF32" s="176">
        <f t="shared" si="65"/>
        <v>42152</v>
      </c>
      <c r="BG32" s="177">
        <f t="shared" ca="1" si="36"/>
        <v>0</v>
      </c>
      <c r="BH32" s="177">
        <f t="shared" ca="1" si="37"/>
        <v>0</v>
      </c>
      <c r="BI32" s="170">
        <f t="shared" ca="1" si="38"/>
        <v>0</v>
      </c>
      <c r="BJ32" s="176">
        <f t="shared" si="66"/>
        <v>42183</v>
      </c>
      <c r="BK32" s="177">
        <f t="shared" ca="1" si="39"/>
        <v>0</v>
      </c>
      <c r="BL32" s="177">
        <f t="shared" ca="1" si="40"/>
        <v>0</v>
      </c>
      <c r="BM32" s="170">
        <f t="shared" ca="1" si="41"/>
        <v>0</v>
      </c>
      <c r="BN32" s="176">
        <f t="shared" si="67"/>
        <v>42213</v>
      </c>
      <c r="BO32" s="177">
        <f t="shared" ca="1" si="42"/>
        <v>0</v>
      </c>
      <c r="BP32" s="177">
        <f t="shared" ca="1" si="43"/>
        <v>0</v>
      </c>
      <c r="BQ32" s="170">
        <f t="shared" ca="1" si="44"/>
        <v>0</v>
      </c>
      <c r="BR32" s="176">
        <f t="shared" si="68"/>
        <v>42244</v>
      </c>
      <c r="BS32" s="177">
        <f t="shared" ca="1" si="45"/>
        <v>0</v>
      </c>
      <c r="BT32" s="177">
        <f t="shared" ca="1" si="46"/>
        <v>0</v>
      </c>
      <c r="BU32" s="170">
        <f t="shared" ca="1" si="47"/>
        <v>0</v>
      </c>
      <c r="BV32" s="176">
        <f t="shared" si="69"/>
        <v>42275</v>
      </c>
      <c r="BW32" s="177">
        <f t="shared" ca="1" si="48"/>
        <v>0</v>
      </c>
      <c r="BX32" s="177">
        <f t="shared" ca="1" si="49"/>
        <v>0</v>
      </c>
      <c r="BY32" s="170">
        <f t="shared" ca="1" si="50"/>
        <v>0</v>
      </c>
      <c r="BZ32" s="176">
        <f t="shared" si="70"/>
        <v>42305</v>
      </c>
      <c r="CA32" s="177">
        <f t="shared" ca="1" si="51"/>
        <v>0</v>
      </c>
      <c r="CB32" s="177">
        <f t="shared" ca="1" si="52"/>
        <v>0</v>
      </c>
      <c r="CC32" s="170">
        <f t="shared" ca="1" si="53"/>
        <v>0</v>
      </c>
      <c r="CD32" s="176">
        <f t="shared" si="71"/>
        <v>42336</v>
      </c>
      <c r="CE32" s="177">
        <f t="shared" ca="1" si="54"/>
        <v>0</v>
      </c>
      <c r="CF32" s="177">
        <f t="shared" ca="1" si="55"/>
        <v>0</v>
      </c>
      <c r="CG32" s="170">
        <f t="shared" ca="1" si="56"/>
        <v>0</v>
      </c>
      <c r="CH32" s="176">
        <f t="shared" si="72"/>
        <v>42366</v>
      </c>
      <c r="CI32" s="177">
        <f t="shared" ca="1" si="57"/>
        <v>0</v>
      </c>
      <c r="CJ32" s="177">
        <f t="shared" ca="1" si="58"/>
        <v>0</v>
      </c>
      <c r="CK32" s="171">
        <f t="shared" ca="1" si="59"/>
        <v>0</v>
      </c>
    </row>
    <row r="33" spans="2:89" ht="21" customHeight="1" x14ac:dyDescent="0.25">
      <c r="B33" s="50">
        <v>30</v>
      </c>
      <c r="C33" s="51">
        <f>Jan!B37</f>
        <v>42033</v>
      </c>
      <c r="D33" s="52" t="str">
        <f t="shared" ca="1" si="0"/>
        <v/>
      </c>
      <c r="E33" s="53" t="str">
        <f t="shared" si="1"/>
        <v/>
      </c>
      <c r="F33" s="54"/>
      <c r="G33" s="56"/>
      <c r="H33" s="53"/>
      <c r="I33" s="51">
        <f>Mrz!B37</f>
        <v>42092</v>
      </c>
      <c r="J33" s="52" t="str">
        <f t="shared" ca="1" si="4"/>
        <v/>
      </c>
      <c r="K33" s="53" t="str">
        <f t="shared" si="5"/>
        <v/>
      </c>
      <c r="L33" s="54">
        <f>Apr!B37</f>
        <v>42123</v>
      </c>
      <c r="M33" s="52" t="str">
        <f t="shared" ca="1" si="6"/>
        <v/>
      </c>
      <c r="N33" s="53" t="str">
        <f t="shared" si="7"/>
        <v/>
      </c>
      <c r="O33" s="51">
        <f>Mai!B37</f>
        <v>42153</v>
      </c>
      <c r="P33" s="52" t="str">
        <f t="shared" si="8"/>
        <v/>
      </c>
      <c r="Q33" s="53" t="str">
        <f t="shared" si="9"/>
        <v/>
      </c>
      <c r="R33" s="54">
        <f>Jun!B37</f>
        <v>42184</v>
      </c>
      <c r="S33" s="52" t="str">
        <f t="shared" ca="1" si="10"/>
        <v/>
      </c>
      <c r="T33" s="53" t="str">
        <f t="shared" si="11"/>
        <v/>
      </c>
      <c r="U33" s="51">
        <f>Jul!B37</f>
        <v>42214</v>
      </c>
      <c r="V33" s="52" t="str">
        <f t="shared" ca="1" si="12"/>
        <v/>
      </c>
      <c r="W33" s="53" t="str">
        <f t="shared" si="13"/>
        <v/>
      </c>
      <c r="X33" s="54">
        <f>Aug!B37</f>
        <v>42245</v>
      </c>
      <c r="Y33" s="52" t="str">
        <f t="shared" ca="1" si="14"/>
        <v/>
      </c>
      <c r="Z33" s="53" t="str">
        <f t="shared" si="15"/>
        <v/>
      </c>
      <c r="AA33" s="51">
        <f>Sep!B37</f>
        <v>42276</v>
      </c>
      <c r="AB33" s="52" t="str">
        <f t="shared" ca="1" si="16"/>
        <v/>
      </c>
      <c r="AC33" s="53" t="str">
        <f t="shared" si="17"/>
        <v/>
      </c>
      <c r="AD33" s="54">
        <f>Okt!B37</f>
        <v>42306</v>
      </c>
      <c r="AE33" s="52" t="str">
        <f t="shared" ca="1" si="18"/>
        <v/>
      </c>
      <c r="AF33" s="53" t="str">
        <f t="shared" si="19"/>
        <v/>
      </c>
      <c r="AG33" s="51">
        <f>Nov!B37</f>
        <v>42337</v>
      </c>
      <c r="AH33" s="52" t="str">
        <f t="shared" ca="1" si="20"/>
        <v/>
      </c>
      <c r="AI33" s="53" t="str">
        <f t="shared" si="21"/>
        <v/>
      </c>
      <c r="AJ33" s="51">
        <f>Dez!B37</f>
        <v>42367</v>
      </c>
      <c r="AK33" s="52" t="str">
        <f t="shared" ca="1" si="22"/>
        <v/>
      </c>
      <c r="AL33" s="55" t="str">
        <f t="shared" si="23"/>
        <v/>
      </c>
      <c r="AO33" s="179">
        <f t="shared" si="60"/>
        <v>30</v>
      </c>
      <c r="AP33" s="176">
        <f t="shared" si="61"/>
        <v>42033</v>
      </c>
      <c r="AQ33" s="177">
        <f t="shared" ca="1" si="24"/>
        <v>0</v>
      </c>
      <c r="AR33" s="177">
        <f t="shared" ca="1" si="25"/>
        <v>0</v>
      </c>
      <c r="AS33" s="170">
        <f t="shared" ca="1" si="26"/>
        <v>0</v>
      </c>
      <c r="AT33" s="176" t="s">
        <v>181</v>
      </c>
      <c r="AU33" s="177"/>
      <c r="AV33" s="177"/>
      <c r="AW33" s="178"/>
      <c r="AX33" s="176">
        <f t="shared" si="63"/>
        <v>42092</v>
      </c>
      <c r="AY33" s="177">
        <f t="shared" ca="1" si="30"/>
        <v>0</v>
      </c>
      <c r="AZ33" s="177">
        <f t="shared" ca="1" si="31"/>
        <v>0</v>
      </c>
      <c r="BA33" s="170">
        <f t="shared" ca="1" si="32"/>
        <v>0</v>
      </c>
      <c r="BB33" s="176">
        <f t="shared" si="64"/>
        <v>42123</v>
      </c>
      <c r="BC33" s="177">
        <f t="shared" ca="1" si="33"/>
        <v>0</v>
      </c>
      <c r="BD33" s="177">
        <f t="shared" ca="1" si="34"/>
        <v>0</v>
      </c>
      <c r="BE33" s="170">
        <f t="shared" ca="1" si="35"/>
        <v>0</v>
      </c>
      <c r="BF33" s="176">
        <f t="shared" si="65"/>
        <v>42153</v>
      </c>
      <c r="BG33" s="177">
        <f t="shared" ca="1" si="36"/>
        <v>0</v>
      </c>
      <c r="BH33" s="177">
        <f t="shared" ca="1" si="37"/>
        <v>0</v>
      </c>
      <c r="BI33" s="170">
        <f t="shared" ca="1" si="38"/>
        <v>0</v>
      </c>
      <c r="BJ33" s="176">
        <f t="shared" si="66"/>
        <v>42184</v>
      </c>
      <c r="BK33" s="177">
        <f t="shared" ca="1" si="39"/>
        <v>0</v>
      </c>
      <c r="BL33" s="177">
        <f t="shared" ca="1" si="40"/>
        <v>0</v>
      </c>
      <c r="BM33" s="170">
        <f t="shared" ca="1" si="41"/>
        <v>0</v>
      </c>
      <c r="BN33" s="176">
        <f t="shared" si="67"/>
        <v>42214</v>
      </c>
      <c r="BO33" s="177">
        <f t="shared" ca="1" si="42"/>
        <v>0</v>
      </c>
      <c r="BP33" s="177">
        <f t="shared" ca="1" si="43"/>
        <v>0</v>
      </c>
      <c r="BQ33" s="170">
        <f t="shared" ca="1" si="44"/>
        <v>0</v>
      </c>
      <c r="BR33" s="176">
        <f t="shared" si="68"/>
        <v>42245</v>
      </c>
      <c r="BS33" s="177">
        <f t="shared" ca="1" si="45"/>
        <v>0</v>
      </c>
      <c r="BT33" s="177">
        <f t="shared" ca="1" si="46"/>
        <v>0</v>
      </c>
      <c r="BU33" s="170">
        <f t="shared" ca="1" si="47"/>
        <v>0</v>
      </c>
      <c r="BV33" s="176">
        <f t="shared" si="69"/>
        <v>42276</v>
      </c>
      <c r="BW33" s="177">
        <f t="shared" ca="1" si="48"/>
        <v>0</v>
      </c>
      <c r="BX33" s="177">
        <f t="shared" ca="1" si="49"/>
        <v>0</v>
      </c>
      <c r="BY33" s="170">
        <f t="shared" ca="1" si="50"/>
        <v>0</v>
      </c>
      <c r="BZ33" s="176">
        <f t="shared" si="70"/>
        <v>42306</v>
      </c>
      <c r="CA33" s="177">
        <f t="shared" ca="1" si="51"/>
        <v>0</v>
      </c>
      <c r="CB33" s="177">
        <f t="shared" ca="1" si="52"/>
        <v>0</v>
      </c>
      <c r="CC33" s="170">
        <f t="shared" ca="1" si="53"/>
        <v>0</v>
      </c>
      <c r="CD33" s="176">
        <f t="shared" si="71"/>
        <v>42337</v>
      </c>
      <c r="CE33" s="177">
        <f t="shared" ca="1" si="54"/>
        <v>0</v>
      </c>
      <c r="CF33" s="177">
        <f t="shared" ca="1" si="55"/>
        <v>0</v>
      </c>
      <c r="CG33" s="170">
        <f t="shared" ca="1" si="56"/>
        <v>0</v>
      </c>
      <c r="CH33" s="176">
        <f t="shared" si="72"/>
        <v>42367</v>
      </c>
      <c r="CI33" s="177">
        <f t="shared" ca="1" si="57"/>
        <v>0</v>
      </c>
      <c r="CJ33" s="177">
        <f t="shared" ca="1" si="58"/>
        <v>0</v>
      </c>
      <c r="CK33" s="171">
        <f t="shared" ca="1" si="59"/>
        <v>0</v>
      </c>
    </row>
    <row r="34" spans="2:89" ht="21" customHeight="1" thickBot="1" x14ac:dyDescent="0.3">
      <c r="B34" s="57">
        <v>31</v>
      </c>
      <c r="C34" s="58">
        <f>Jan!B38</f>
        <v>42034</v>
      </c>
      <c r="D34" s="59" t="str">
        <f t="shared" ca="1" si="0"/>
        <v/>
      </c>
      <c r="E34" s="60" t="str">
        <f t="shared" si="1"/>
        <v/>
      </c>
      <c r="F34" s="61"/>
      <c r="G34" s="62"/>
      <c r="H34" s="60"/>
      <c r="I34" s="61">
        <f>Mrz!B38</f>
        <v>42093</v>
      </c>
      <c r="J34" s="62" t="str">
        <f t="shared" ca="1" si="4"/>
        <v/>
      </c>
      <c r="K34" s="60" t="str">
        <f t="shared" si="5"/>
        <v/>
      </c>
      <c r="L34" s="61"/>
      <c r="M34" s="62"/>
      <c r="N34" s="60"/>
      <c r="O34" s="61">
        <f>Mai!B38</f>
        <v>42154</v>
      </c>
      <c r="P34" s="62" t="str">
        <f t="shared" ca="1" si="8"/>
        <v/>
      </c>
      <c r="Q34" s="60" t="str">
        <f t="shared" si="9"/>
        <v/>
      </c>
      <c r="R34" s="61"/>
      <c r="S34" s="62"/>
      <c r="T34" s="60"/>
      <c r="U34" s="61">
        <f>Jul!B38</f>
        <v>42215</v>
      </c>
      <c r="V34" s="62" t="str">
        <f t="shared" ca="1" si="12"/>
        <v/>
      </c>
      <c r="W34" s="60" t="str">
        <f t="shared" si="13"/>
        <v/>
      </c>
      <c r="X34" s="61">
        <f>Aug!B38</f>
        <v>42246</v>
      </c>
      <c r="Y34" s="62" t="str">
        <f t="shared" ca="1" si="14"/>
        <v/>
      </c>
      <c r="Z34" s="60" t="str">
        <f t="shared" si="15"/>
        <v/>
      </c>
      <c r="AA34" s="61"/>
      <c r="AB34" s="62"/>
      <c r="AC34" s="60"/>
      <c r="AD34" s="61">
        <f>Okt!B38</f>
        <v>42307</v>
      </c>
      <c r="AE34" s="62" t="str">
        <f t="shared" si="18"/>
        <v/>
      </c>
      <c r="AF34" s="60" t="str">
        <f t="shared" si="19"/>
        <v/>
      </c>
      <c r="AG34" s="61"/>
      <c r="AH34" s="62"/>
      <c r="AI34" s="60"/>
      <c r="AJ34" s="61">
        <f>Dez!B38</f>
        <v>42368</v>
      </c>
      <c r="AK34" s="62" t="str">
        <f t="shared" si="22"/>
        <v/>
      </c>
      <c r="AL34" s="60" t="str">
        <f t="shared" si="23"/>
        <v/>
      </c>
      <c r="AO34" s="187">
        <f t="shared" si="60"/>
        <v>31</v>
      </c>
      <c r="AP34" s="188">
        <f t="shared" si="61"/>
        <v>42034</v>
      </c>
      <c r="AQ34" s="177">
        <f t="shared" ca="1" si="24"/>
        <v>0</v>
      </c>
      <c r="AR34" s="177">
        <f t="shared" ca="1" si="25"/>
        <v>0</v>
      </c>
      <c r="AS34" s="170">
        <f t="shared" ca="1" si="26"/>
        <v>0</v>
      </c>
      <c r="AT34" s="188" t="s">
        <v>181</v>
      </c>
      <c r="AU34" s="189"/>
      <c r="AV34" s="189"/>
      <c r="AW34" s="190"/>
      <c r="AX34" s="188">
        <f t="shared" si="63"/>
        <v>42093</v>
      </c>
      <c r="AY34" s="177">
        <f t="shared" ca="1" si="30"/>
        <v>0</v>
      </c>
      <c r="AZ34" s="177">
        <f t="shared" ca="1" si="31"/>
        <v>0</v>
      </c>
      <c r="BA34" s="170">
        <f t="shared" ca="1" si="32"/>
        <v>0</v>
      </c>
      <c r="BB34" s="188" t="s">
        <v>181</v>
      </c>
      <c r="BC34" s="189"/>
      <c r="BD34" s="189"/>
      <c r="BE34" s="178"/>
      <c r="BF34" s="188">
        <f t="shared" si="65"/>
        <v>42154</v>
      </c>
      <c r="BG34" s="177">
        <f t="shared" ca="1" si="36"/>
        <v>0</v>
      </c>
      <c r="BH34" s="177">
        <f t="shared" ca="1" si="37"/>
        <v>0</v>
      </c>
      <c r="BI34" s="170">
        <f t="shared" ca="1" si="38"/>
        <v>0</v>
      </c>
      <c r="BJ34" s="188" t="s">
        <v>181</v>
      </c>
      <c r="BK34" s="189"/>
      <c r="BL34" s="189"/>
      <c r="BM34" s="190"/>
      <c r="BN34" s="188">
        <f t="shared" si="67"/>
        <v>42215</v>
      </c>
      <c r="BO34" s="177">
        <f t="shared" ca="1" si="42"/>
        <v>0</v>
      </c>
      <c r="BP34" s="177">
        <f t="shared" ca="1" si="43"/>
        <v>0</v>
      </c>
      <c r="BQ34" s="170">
        <f t="shared" ca="1" si="44"/>
        <v>0</v>
      </c>
      <c r="BR34" s="188">
        <f t="shared" si="68"/>
        <v>42246</v>
      </c>
      <c r="BS34" s="177">
        <f t="shared" ca="1" si="45"/>
        <v>0</v>
      </c>
      <c r="BT34" s="177">
        <f t="shared" ca="1" si="46"/>
        <v>0</v>
      </c>
      <c r="BU34" s="170">
        <f t="shared" ca="1" si="47"/>
        <v>0</v>
      </c>
      <c r="BV34" s="188" t="s">
        <v>181</v>
      </c>
      <c r="BW34" s="189"/>
      <c r="BX34" s="189"/>
      <c r="BY34" s="190"/>
      <c r="BZ34" s="188">
        <f t="shared" si="70"/>
        <v>42307</v>
      </c>
      <c r="CA34" s="177">
        <f t="shared" ca="1" si="51"/>
        <v>0</v>
      </c>
      <c r="CB34" s="177">
        <f t="shared" ca="1" si="52"/>
        <v>0</v>
      </c>
      <c r="CC34" s="170">
        <f t="shared" ca="1" si="53"/>
        <v>0</v>
      </c>
      <c r="CD34" s="176" t="s">
        <v>181</v>
      </c>
      <c r="CE34" s="177"/>
      <c r="CF34" s="177"/>
      <c r="CG34" s="178"/>
      <c r="CH34" s="188">
        <f t="shared" si="72"/>
        <v>42368</v>
      </c>
      <c r="CI34" s="177">
        <f t="shared" ca="1" si="57"/>
        <v>0</v>
      </c>
      <c r="CJ34" s="177">
        <f t="shared" ca="1" si="58"/>
        <v>0</v>
      </c>
      <c r="CK34" s="171">
        <f t="shared" ca="1" si="59"/>
        <v>0</v>
      </c>
    </row>
    <row r="35" spans="2:89" ht="21" customHeight="1" thickBot="1" x14ac:dyDescent="0.3">
      <c r="AN35" s="507" t="s">
        <v>182</v>
      </c>
      <c r="AO35" s="508"/>
      <c r="AP35" s="191"/>
      <c r="AQ35" s="191"/>
      <c r="AR35" s="191"/>
      <c r="AS35" s="191" t="str">
        <f ca="1">CONCATENATE(SUM(AQ4:AQ34)," Tage")</f>
        <v>0 Tage</v>
      </c>
      <c r="AT35" s="191"/>
      <c r="AU35" s="191"/>
      <c r="AV35" s="191"/>
      <c r="AW35" s="191" t="str">
        <f ca="1">CONCATENATE(SUM(AU4:AU34)," Tage")</f>
        <v>0 Tage</v>
      </c>
      <c r="AX35" s="191"/>
      <c r="AY35" s="191"/>
      <c r="AZ35" s="191"/>
      <c r="BA35" s="191" t="str">
        <f ca="1">CONCATENATE(SUM(AY4:AY34)," Tage")</f>
        <v>0 Tage</v>
      </c>
      <c r="BB35" s="191"/>
      <c r="BC35" s="191"/>
      <c r="BD35" s="191"/>
      <c r="BE35" s="191" t="str">
        <f ca="1">CONCATENATE(SUM(BC4:BC34)," Tage")</f>
        <v>0 Tage</v>
      </c>
      <c r="BF35" s="191"/>
      <c r="BG35" s="191"/>
      <c r="BH35" s="191"/>
      <c r="BI35" s="191" t="str">
        <f ca="1">CONCATENATE(SUM(BG4:BG34)," Tage")</f>
        <v>0 Tage</v>
      </c>
      <c r="BJ35" s="191"/>
      <c r="BK35" s="191"/>
      <c r="BL35" s="191"/>
      <c r="BM35" s="191" t="str">
        <f ca="1">CONCATENATE(SUM(BK4:BK34)," Tage")</f>
        <v>0 Tage</v>
      </c>
      <c r="BN35" s="191"/>
      <c r="BO35" s="191"/>
      <c r="BP35" s="191"/>
      <c r="BQ35" s="191" t="str">
        <f ca="1">CONCATENATE(SUM(BO4:BO34)," Tage")</f>
        <v>0 Tage</v>
      </c>
      <c r="BR35" s="191"/>
      <c r="BS35" s="191"/>
      <c r="BT35" s="191"/>
      <c r="BU35" s="191" t="str">
        <f ca="1">CONCATENATE(SUM(BS4:BS34)," Tage")</f>
        <v>0 Tage</v>
      </c>
      <c r="BV35" s="191"/>
      <c r="BW35" s="191"/>
      <c r="BX35" s="191"/>
      <c r="BY35" s="191" t="str">
        <f ca="1">CONCATENATE(SUM(BW4:BW34)," Tage")</f>
        <v>0 Tage</v>
      </c>
      <c r="BZ35" s="191"/>
      <c r="CA35" s="191"/>
      <c r="CB35" s="191"/>
      <c r="CC35" s="191" t="str">
        <f ca="1">CONCATENATE(SUM(CA4:CA34)," Tage")</f>
        <v>0 Tage</v>
      </c>
      <c r="CD35" s="191"/>
      <c r="CE35" s="191"/>
      <c r="CF35" s="191"/>
      <c r="CG35" s="191" t="str">
        <f ca="1">CONCATENATE(SUM(CE4:CE34)," Tage")</f>
        <v>0 Tage</v>
      </c>
      <c r="CH35" s="191"/>
      <c r="CI35" s="191"/>
      <c r="CJ35" s="191"/>
      <c r="CK35" s="192" t="str">
        <f ca="1">CONCATENATE(SUM(CI4:CI34)," Tage")</f>
        <v>0 Tage</v>
      </c>
    </row>
    <row r="36" spans="2:89" ht="21" customHeight="1" thickBot="1" x14ac:dyDescent="0.3">
      <c r="C36" s="519" t="s">
        <v>45</v>
      </c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1"/>
      <c r="AJ36" s="48"/>
      <c r="AN36" s="509" t="s">
        <v>183</v>
      </c>
      <c r="AO36" s="510"/>
      <c r="AP36" s="193"/>
      <c r="AQ36" s="193"/>
      <c r="AR36" s="193"/>
      <c r="AS36" s="193" t="str">
        <f ca="1">CONCATENATE(SUM(AR4:AR34)," Tage")</f>
        <v>0 Tage</v>
      </c>
      <c r="AT36" s="193"/>
      <c r="AU36" s="193"/>
      <c r="AV36" s="193"/>
      <c r="AW36" s="193" t="str">
        <f ca="1">CONCATENATE(SUM(AV4:AV34)," Tage")</f>
        <v>0 Tage</v>
      </c>
      <c r="AX36" s="193"/>
      <c r="AY36" s="193"/>
      <c r="AZ36" s="193"/>
      <c r="BA36" s="193" t="str">
        <f ca="1">CONCATENATE(SUM(AZ4:AZ34)," Tage")</f>
        <v>0 Tage</v>
      </c>
      <c r="BB36" s="193"/>
      <c r="BC36" s="193"/>
      <c r="BD36" s="193"/>
      <c r="BE36" s="193" t="str">
        <f ca="1">CONCATENATE(SUM(BD4:BD34)," Tage")</f>
        <v>0 Tage</v>
      </c>
      <c r="BF36" s="193"/>
      <c r="BG36" s="193"/>
      <c r="BH36" s="193"/>
      <c r="BI36" s="193" t="str">
        <f ca="1">CONCATENATE(SUM(BH4:BH34)," Tage")</f>
        <v>0 Tage</v>
      </c>
      <c r="BJ36" s="193"/>
      <c r="BK36" s="193"/>
      <c r="BL36" s="193"/>
      <c r="BM36" s="193" t="str">
        <f ca="1">CONCATENATE(SUM(BL4:BL34)," Tage")</f>
        <v>0 Tage</v>
      </c>
      <c r="BN36" s="193"/>
      <c r="BO36" s="193"/>
      <c r="BP36" s="193"/>
      <c r="BQ36" s="193" t="str">
        <f ca="1">CONCATENATE(SUM(BP4:BP34)," Tage")</f>
        <v>0 Tage</v>
      </c>
      <c r="BR36" s="193"/>
      <c r="BS36" s="193"/>
      <c r="BT36" s="193"/>
      <c r="BU36" s="193" t="str">
        <f ca="1">CONCATENATE(SUM(BT4:BT34)," Tage")</f>
        <v>0 Tage</v>
      </c>
      <c r="BV36" s="193"/>
      <c r="BW36" s="193"/>
      <c r="BX36" s="193"/>
      <c r="BY36" s="193" t="str">
        <f ca="1">CONCATENATE(SUM(BX4:BX34)," Tage")</f>
        <v>0 Tage</v>
      </c>
      <c r="BZ36" s="193"/>
      <c r="CA36" s="193"/>
      <c r="CB36" s="193"/>
      <c r="CC36" s="193" t="str">
        <f ca="1">CONCATENATE(SUM(CB4:CB34)," Tage")</f>
        <v>0 Tage</v>
      </c>
      <c r="CD36" s="193"/>
      <c r="CE36" s="193"/>
      <c r="CF36" s="193"/>
      <c r="CG36" s="193" t="str">
        <f ca="1">CONCATENATE(SUM(CF4:CF34)," Tage")</f>
        <v>0 Tage</v>
      </c>
      <c r="CH36" s="193"/>
      <c r="CI36" s="193"/>
      <c r="CJ36" s="193"/>
      <c r="CK36" s="194" t="str">
        <f ca="1">CONCATENATE(SUM(CJ4:CJ34)," Tage")</f>
        <v>0 Tage</v>
      </c>
    </row>
    <row r="37" spans="2:89" ht="28.5" customHeight="1" thickBot="1" x14ac:dyDescent="0.3">
      <c r="C37" s="519" t="s">
        <v>46</v>
      </c>
      <c r="D37" s="520"/>
      <c r="E37" s="505"/>
      <c r="F37" s="168" t="s">
        <v>184</v>
      </c>
      <c r="G37" s="505" t="s">
        <v>46</v>
      </c>
      <c r="H37" s="506"/>
      <c r="I37" s="168" t="s">
        <v>184</v>
      </c>
      <c r="J37" s="505" t="s">
        <v>46</v>
      </c>
      <c r="K37" s="506"/>
      <c r="L37" s="168" t="s">
        <v>184</v>
      </c>
      <c r="M37" s="505" t="s">
        <v>46</v>
      </c>
      <c r="N37" s="506"/>
      <c r="O37" s="536" t="s">
        <v>184</v>
      </c>
      <c r="P37" s="537"/>
      <c r="AJ37" s="48"/>
    </row>
    <row r="38" spans="2:89" ht="34.5" customHeight="1" x14ac:dyDescent="0.25">
      <c r="C38" s="522" t="str">
        <f>VLOOKUP(F38,Legende_Code,2,FALSE)</f>
        <v>Urlaub</v>
      </c>
      <c r="D38" s="523"/>
      <c r="E38" s="524"/>
      <c r="F38" s="318" t="str">
        <f>Voreinstellung_Übersicht!D29</f>
        <v>U</v>
      </c>
      <c r="G38" s="533" t="str">
        <f>VLOOKUP(I38,Legende_Code,2,FALSE)</f>
        <v>Dienstreise</v>
      </c>
      <c r="H38" s="531"/>
      <c r="I38" s="319" t="str">
        <f>Voreinstellung_Übersicht!D33</f>
        <v>DR</v>
      </c>
      <c r="J38" s="531" t="str">
        <f>VLOOKUP(L38,Legende_Code,2,FALSE)</f>
        <v>Kur</v>
      </c>
      <c r="K38" s="532"/>
      <c r="L38" s="318" t="str">
        <f>Voreinstellung_Übersicht!D37</f>
        <v>Kur</v>
      </c>
      <c r="M38" s="533" t="str">
        <f>VLOOKUP(O38,Legende_Code,2,FALSE)</f>
        <v>Überstunden</v>
      </c>
      <c r="N38" s="534"/>
      <c r="O38" s="532" t="str">
        <f>Voreinstellung_Übersicht!D41</f>
        <v>Ü</v>
      </c>
      <c r="P38" s="538"/>
      <c r="AJ38" s="48"/>
    </row>
    <row r="39" spans="2:89" ht="34.5" customHeight="1" x14ac:dyDescent="0.25">
      <c r="C39" s="516" t="str">
        <f>VLOOKUP(F39,Legende_Code,2,FALSE)</f>
        <v>Arbeitsunfähigkeit mit AU-Schein</v>
      </c>
      <c r="D39" s="517"/>
      <c r="E39" s="518"/>
      <c r="F39" s="166" t="str">
        <f>Voreinstellung_Übersicht!D30</f>
        <v>K</v>
      </c>
      <c r="G39" s="388" t="str">
        <f>VLOOKUP(I39,Legende_Code,2,FALSE)</f>
        <v>Weiterbildung</v>
      </c>
      <c r="H39" s="389"/>
      <c r="I39" s="167" t="str">
        <f>Voreinstellung_Übersicht!D34</f>
        <v>WB</v>
      </c>
      <c r="J39" s="389" t="str">
        <f>VLOOKUP(L39,Legende_Code,2,FALSE)</f>
        <v>Gleittag</v>
      </c>
      <c r="K39" s="408"/>
      <c r="L39" s="166" t="str">
        <f>Voreinstellung_Übersicht!D38</f>
        <v>G</v>
      </c>
      <c r="M39" s="388" t="str">
        <f>VLOOKUP(O39,Legende_Code,2,FALSE)</f>
        <v>Arbeitsbefreiung nach § 29 (1) TV-L</v>
      </c>
      <c r="N39" s="535"/>
      <c r="O39" s="408" t="str">
        <f>Voreinstellung_Übersicht!D42</f>
        <v>§29(1)</v>
      </c>
      <c r="P39" s="403"/>
      <c r="AJ39" s="48"/>
    </row>
    <row r="40" spans="2:89" ht="34.5" customHeight="1" x14ac:dyDescent="0.25">
      <c r="C40" s="516" t="str">
        <f>VLOOKUP(F40,Legende_Code,2,FALSE)</f>
        <v>Arbeitsunfähigkeit ohne AU-Schein</v>
      </c>
      <c r="D40" s="517"/>
      <c r="E40" s="518"/>
      <c r="F40" s="166" t="str">
        <f>Voreinstellung_Übersicht!D31</f>
        <v>KuK</v>
      </c>
      <c r="G40" s="388" t="str">
        <f>VLOOKUP(I40,Legende_Code,2,FALSE)</f>
        <v>medizinische Eingliederung</v>
      </c>
      <c r="H40" s="389"/>
      <c r="I40" s="167" t="str">
        <f>Voreinstellung_Übersicht!D35</f>
        <v>mEG</v>
      </c>
      <c r="J40" s="389" t="str">
        <f>VLOOKUP(L40,Legende_Code,2,FALSE)</f>
        <v>Sonderurlaub</v>
      </c>
      <c r="K40" s="408"/>
      <c r="L40" s="166" t="str">
        <f>Voreinstellung_Übersicht!D39</f>
        <v>SU</v>
      </c>
      <c r="M40" s="388" t="str">
        <f>VLOOKUP(O40,Legende_Code,2,FALSE)</f>
        <v>Arbeitsbefreiung nach § 29 (2) TV-L</v>
      </c>
      <c r="N40" s="535"/>
      <c r="O40" s="408" t="str">
        <f>Voreinstellung_Übersicht!D43</f>
        <v>§29(2)</v>
      </c>
      <c r="P40" s="403"/>
      <c r="AJ40" s="48"/>
    </row>
    <row r="41" spans="2:89" ht="34.5" customHeight="1" thickBot="1" x14ac:dyDescent="0.3">
      <c r="C41" s="527" t="str">
        <f>VLOOKUP(F41,Legende_Code,2,FALSE)</f>
        <v>Kind Krank</v>
      </c>
      <c r="D41" s="528"/>
      <c r="E41" s="529"/>
      <c r="F41" s="320" t="str">
        <f>Voreinstellung_Übersicht!D32</f>
        <v>KK</v>
      </c>
      <c r="G41" s="525" t="str">
        <f>VLOOKUP(I41,Legende_Code,2,FALSE)</f>
        <v>Freizeitausgleich</v>
      </c>
      <c r="H41" s="526"/>
      <c r="I41" s="321" t="str">
        <f>Voreinstellung_Übersicht!D36</f>
        <v>FZA</v>
      </c>
      <c r="J41" s="526" t="str">
        <f>VLOOKUP(L41,Legende_Code,2,FALSE)</f>
        <v>Rufbreitschaft</v>
      </c>
      <c r="K41" s="409"/>
      <c r="L41" s="320" t="str">
        <f>Voreinstellung_Übersicht!D40</f>
        <v>RU</v>
      </c>
      <c r="M41" s="525" t="str">
        <f>VLOOKUP(O41,Legende_Code,2,FALSE)</f>
        <v>Arbeitsbefreiung nach § 29 (4) TV-L</v>
      </c>
      <c r="N41" s="530"/>
      <c r="O41" s="409" t="str">
        <f>Voreinstellung_Übersicht!D45</f>
        <v>§29(4)</v>
      </c>
      <c r="P41" s="404"/>
      <c r="AJ41" s="48"/>
    </row>
  </sheetData>
  <sheetProtection password="D3C6" sheet="1" formatCells="0" selectLockedCells="1"/>
  <mergeCells count="42">
    <mergeCell ref="J37:K37"/>
    <mergeCell ref="M37:N37"/>
    <mergeCell ref="G38:H38"/>
    <mergeCell ref="R3:T3"/>
    <mergeCell ref="U3:W3"/>
    <mergeCell ref="O37:P37"/>
    <mergeCell ref="O38:P38"/>
    <mergeCell ref="I3:K3"/>
    <mergeCell ref="L3:N3"/>
    <mergeCell ref="O3:Q3"/>
    <mergeCell ref="O41:P41"/>
    <mergeCell ref="C36:P36"/>
    <mergeCell ref="C37:E37"/>
    <mergeCell ref="C38:E38"/>
    <mergeCell ref="AD3:AF3"/>
    <mergeCell ref="G41:H41"/>
    <mergeCell ref="C41:E41"/>
    <mergeCell ref="M41:N41"/>
    <mergeCell ref="J38:K38"/>
    <mergeCell ref="J39:K39"/>
    <mergeCell ref="J40:K40"/>
    <mergeCell ref="J41:K41"/>
    <mergeCell ref="G39:H39"/>
    <mergeCell ref="M38:N38"/>
    <mergeCell ref="M39:N39"/>
    <mergeCell ref="M40:N40"/>
    <mergeCell ref="AO1:CK2"/>
    <mergeCell ref="G40:H40"/>
    <mergeCell ref="AG3:AI3"/>
    <mergeCell ref="G37:H37"/>
    <mergeCell ref="AN35:AO35"/>
    <mergeCell ref="AN36:AO36"/>
    <mergeCell ref="B1:AL2"/>
    <mergeCell ref="AJ3:AL3"/>
    <mergeCell ref="C3:E3"/>
    <mergeCell ref="F3:H3"/>
    <mergeCell ref="X3:Z3"/>
    <mergeCell ref="AA3:AC3"/>
    <mergeCell ref="O39:P39"/>
    <mergeCell ref="O40:P40"/>
    <mergeCell ref="C40:E40"/>
    <mergeCell ref="C39:E39"/>
  </mergeCells>
  <conditionalFormatting sqref="F4:F32 L4:L34 I4:I34 O4:O34 R4:R34 U4:U34 X4:X34 AA4:AA34 AD4:AD34 AG4:AG34 AJ4:AJ34 C4:C34">
    <cfRule type="expression" dxfId="15" priority="148">
      <formula>NETWORKDAYS(C4,C4,Feiertage)=0</formula>
    </cfRule>
  </conditionalFormatting>
  <conditionalFormatting sqref="F37:O37 C37:C41 B3:AN34 F38:G41 I38:M41 O38:O41">
    <cfRule type="expression" dxfId="14" priority="79">
      <formula>B3=$L$41</formula>
    </cfRule>
    <cfRule type="expression" dxfId="13" priority="136">
      <formula>B3=$L$39</formula>
    </cfRule>
    <cfRule type="expression" dxfId="12" priority="137">
      <formula>B3=$L$40</formula>
    </cfRule>
    <cfRule type="expression" dxfId="11" priority="139">
      <formula>B3=$I$41</formula>
    </cfRule>
    <cfRule type="expression" dxfId="10" priority="140">
      <formula>OR(B3=$F$39,B3=$F$40,B3=$I$39)</formula>
    </cfRule>
    <cfRule type="expression" dxfId="9" priority="141">
      <formula>B3=$F$41</formula>
    </cfRule>
    <cfRule type="expression" dxfId="8" priority="142">
      <formula>B3=$I$40</formula>
    </cfRule>
    <cfRule type="expression" dxfId="7" priority="143">
      <formula>B3=$F$38</formula>
    </cfRule>
  </conditionalFormatting>
  <conditionalFormatting sqref="AS4:CK34">
    <cfRule type="expression" dxfId="6" priority="1">
      <formula>AP4=TODAY()</formula>
    </cfRule>
    <cfRule type="expression" dxfId="5" priority="2" stopIfTrue="1">
      <formula>AND(AQ4=0,AR4=0,AP4&lt;=TODAY())</formula>
    </cfRule>
    <cfRule type="expression" dxfId="4" priority="3" stopIfTrue="1">
      <formula>AQ4=1</formula>
    </cfRule>
    <cfRule type="expression" dxfId="3" priority="4" stopIfTrue="1">
      <formula>AR4=1</formula>
    </cfRule>
  </conditionalFormatting>
  <conditionalFormatting sqref="A1:AN34 F38:F41 I38:I41 L38:L41 O38:P41">
    <cfRule type="expression" dxfId="2" priority="138">
      <formula>A1=$L$38</formula>
    </cfRule>
  </conditionalFormatting>
  <pageMargins left="0.23622047244094491" right="0.23622047244094491" top="1.1417322834645669" bottom="0.74803149606299213" header="0.31496062992125984" footer="0.31496062992125984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P653"/>
  <sheetViews>
    <sheetView zoomScaleNormal="100" workbookViewId="0">
      <selection activeCell="K14" sqref="K14"/>
    </sheetView>
  </sheetViews>
  <sheetFormatPr baseColWidth="10" defaultColWidth="11.42578125" defaultRowHeight="15" x14ac:dyDescent="0.25"/>
  <cols>
    <col min="1" max="1" width="12.7109375" style="46" bestFit="1" customWidth="1"/>
    <col min="2" max="2" width="7.7109375" style="26" customWidth="1"/>
    <col min="3" max="3" width="7.7109375" style="29" customWidth="1"/>
    <col min="4" max="4" width="34.28515625" style="29" customWidth="1"/>
    <col min="5" max="9" width="11.42578125" style="29"/>
    <col min="10" max="10" width="13.28515625" style="29" customWidth="1"/>
    <col min="11" max="11" width="14.7109375" style="258" customWidth="1"/>
    <col min="12" max="12" width="12.7109375" style="29" bestFit="1" customWidth="1"/>
    <col min="13" max="13" width="13.7109375" style="316" customWidth="1"/>
    <col min="14" max="14" width="14.85546875" style="255" customWidth="1"/>
    <col min="15" max="16384" width="11.42578125" style="29"/>
  </cols>
  <sheetData>
    <row r="1" spans="1:14" x14ac:dyDescent="0.25">
      <c r="B1" s="47"/>
      <c r="M1" s="316" t="s">
        <v>185</v>
      </c>
    </row>
    <row r="2" spans="1:14" s="45" customFormat="1" ht="18" x14ac:dyDescent="0.25">
      <c r="B2" s="244"/>
      <c r="C2" s="539" t="s">
        <v>186</v>
      </c>
      <c r="D2" s="539"/>
      <c r="E2" s="539"/>
      <c r="F2" s="539"/>
      <c r="G2" s="21"/>
      <c r="H2" s="21"/>
      <c r="I2" s="21"/>
      <c r="J2" s="21"/>
      <c r="K2" s="259"/>
      <c r="M2" s="317"/>
      <c r="N2" s="353"/>
    </row>
    <row r="3" spans="1:14" s="45" customFormat="1" ht="16.5" x14ac:dyDescent="0.25">
      <c r="B3" s="254" t="s">
        <v>82</v>
      </c>
      <c r="C3" s="21"/>
      <c r="D3" s="22"/>
      <c r="E3" s="21"/>
      <c r="F3" s="21"/>
      <c r="G3" s="21"/>
      <c r="H3" s="21"/>
      <c r="I3" s="23" t="str">
        <f>Struktureinheit</f>
        <v>Struktureinheit</v>
      </c>
      <c r="J3" s="24"/>
      <c r="K3" s="260"/>
      <c r="M3" s="317" t="s">
        <v>187</v>
      </c>
      <c r="N3" s="256"/>
    </row>
    <row r="4" spans="1:14" ht="16.5" x14ac:dyDescent="0.25">
      <c r="A4" s="29"/>
      <c r="B4" s="545" t="s">
        <v>1</v>
      </c>
      <c r="C4" s="545"/>
      <c r="D4" s="20" t="str">
        <f>Name</f>
        <v>Max Mustermann</v>
      </c>
      <c r="E4" s="25"/>
      <c r="F4" s="25"/>
      <c r="G4" s="25"/>
      <c r="H4" s="26"/>
      <c r="I4" s="27"/>
      <c r="J4" s="27"/>
      <c r="K4" s="260"/>
      <c r="M4" s="317" t="s">
        <v>188</v>
      </c>
      <c r="N4" s="257"/>
    </row>
    <row r="5" spans="1:14" ht="9.75" customHeight="1" x14ac:dyDescent="0.25">
      <c r="A5" s="29"/>
      <c r="C5" s="26"/>
      <c r="D5" s="28"/>
      <c r="E5" s="26"/>
      <c r="F5" s="26"/>
      <c r="G5" s="26"/>
      <c r="H5" s="26"/>
      <c r="I5" s="26"/>
      <c r="J5" s="26"/>
      <c r="K5" s="259"/>
    </row>
    <row r="6" spans="1:14" x14ac:dyDescent="0.25">
      <c r="A6" s="29"/>
      <c r="B6" s="545" t="s">
        <v>189</v>
      </c>
      <c r="C6" s="545"/>
      <c r="D6" s="26">
        <f>Personalnummer</f>
        <v>123456789</v>
      </c>
      <c r="G6" s="26"/>
      <c r="H6" s="184" t="s">
        <v>190</v>
      </c>
      <c r="I6" s="540">
        <f>Geburtstag</f>
        <v>16833</v>
      </c>
      <c r="J6" s="540"/>
      <c r="K6" s="261"/>
    </row>
    <row r="7" spans="1:14" x14ac:dyDescent="0.25">
      <c r="A7" s="29"/>
      <c r="C7" s="26"/>
      <c r="D7" s="28"/>
      <c r="E7" s="26"/>
      <c r="F7" s="26"/>
      <c r="G7" s="26"/>
      <c r="H7" s="26"/>
      <c r="I7" s="26"/>
      <c r="J7" s="26"/>
      <c r="K7" s="259"/>
    </row>
    <row r="8" spans="1:14" x14ac:dyDescent="0.25">
      <c r="A8" s="29"/>
      <c r="B8" s="541" t="s">
        <v>191</v>
      </c>
      <c r="C8" s="541"/>
      <c r="D8" s="542">
        <f>B14</f>
        <v>42004</v>
      </c>
      <c r="E8" s="542"/>
      <c r="F8" s="542"/>
      <c r="G8" s="542"/>
      <c r="H8" s="542"/>
      <c r="I8" s="186"/>
      <c r="J8" s="543"/>
      <c r="K8" s="544"/>
    </row>
    <row r="9" spans="1:14" ht="15" customHeight="1" x14ac:dyDescent="0.25">
      <c r="B9" s="557"/>
      <c r="C9" s="557"/>
      <c r="D9" s="558" t="s">
        <v>192</v>
      </c>
      <c r="E9" s="546" t="s">
        <v>38</v>
      </c>
      <c r="F9" s="546" t="s">
        <v>39</v>
      </c>
      <c r="G9" s="546" t="s">
        <v>105</v>
      </c>
      <c r="H9" s="548" t="s">
        <v>81</v>
      </c>
      <c r="I9" s="30" t="s">
        <v>193</v>
      </c>
      <c r="J9" s="550" t="s">
        <v>63</v>
      </c>
      <c r="K9" s="551"/>
    </row>
    <row r="10" spans="1:14" x14ac:dyDescent="0.25">
      <c r="B10" s="557"/>
      <c r="C10" s="557"/>
      <c r="D10" s="558"/>
      <c r="E10" s="547"/>
      <c r="F10" s="547"/>
      <c r="G10" s="547"/>
      <c r="H10" s="549"/>
      <c r="I10" s="552"/>
      <c r="J10" s="550"/>
      <c r="K10" s="551"/>
    </row>
    <row r="11" spans="1:14" x14ac:dyDescent="0.25">
      <c r="B11" s="557"/>
      <c r="C11" s="186"/>
      <c r="D11" s="31" t="s">
        <v>194</v>
      </c>
      <c r="E11" s="186" t="s">
        <v>195</v>
      </c>
      <c r="F11" s="186"/>
      <c r="G11" s="186" t="s">
        <v>196</v>
      </c>
      <c r="H11" s="32"/>
      <c r="I11" s="544"/>
      <c r="J11" s="543"/>
      <c r="K11" s="554"/>
    </row>
    <row r="12" spans="1:14" x14ac:dyDescent="0.25">
      <c r="B12" s="186" t="s">
        <v>80</v>
      </c>
      <c r="C12" s="186" t="s">
        <v>128</v>
      </c>
      <c r="D12" s="31"/>
      <c r="E12" s="186" t="s">
        <v>197</v>
      </c>
      <c r="F12" s="186" t="s">
        <v>197</v>
      </c>
      <c r="G12" s="186" t="s">
        <v>197</v>
      </c>
      <c r="H12" s="32" t="s">
        <v>197</v>
      </c>
      <c r="I12" s="553"/>
      <c r="J12" s="555"/>
      <c r="K12" s="556"/>
    </row>
    <row r="13" spans="1:14" x14ac:dyDescent="0.25">
      <c r="B13" s="186"/>
      <c r="C13" s="186"/>
      <c r="D13" s="33"/>
      <c r="E13" s="16"/>
      <c r="F13" s="186"/>
      <c r="G13" s="186"/>
      <c r="H13" s="32"/>
      <c r="I13" s="30"/>
      <c r="J13" s="34"/>
      <c r="K13" s="262"/>
      <c r="N13" s="327"/>
    </row>
    <row r="14" spans="1:14" x14ac:dyDescent="0.25">
      <c r="B14" s="245">
        <f>Jan!F8</f>
        <v>42004</v>
      </c>
      <c r="C14" s="35">
        <f>B14</f>
        <v>42004</v>
      </c>
      <c r="D14" s="17" t="str">
        <f>IF(AND(VLOOKUP(B14,Jan!B:BA,8,FALSE)&gt;0,VLOOKUP(B14,Jan!B:BA,6,FALSE)=""), CONCATENATE(TEXT(VLOOKUP(B14,Jan!B:BA,7,FALSE),"hh:mm"), "-", TEXT(VLOOKUP(B14,Jan!B:BA,8,FALSE),"[hh]:mm")," Uhr ", IF(VLOOKUP(B14,Jan!B:BA,12,FALSE)&gt;0, CONCATENATE("und ",TEXT(VLOOKUP(B14,Jan!B:BA,12,FALSE),"hh:mm"), "-", TEXT(VLOOKUP(B14,Jan!B:BA,13,FALSE),"[hh]:mm")," Uhr "),"")), IF(VLOOKUP(B14,Jan!B:BA,6,FALSE)="","",VLOOKUP(VLOOKUP(B14,Jan!B:BA,6,FALSE),Legende_Code,2,FALSE)))</f>
        <v/>
      </c>
      <c r="E14" s="16" t="str">
        <f>IF(AND(VLOOKUP(B14,Jan!B:BA,6,FALSE)="", WEEKDAY(B14,2)=6,VLOOKUP(B14,Jan!B:BA,48,FALSE)&gt;0),VLOOKUP(B14,Jan!B:BA,48,FALSE)*24,"")</f>
        <v/>
      </c>
      <c r="F14" s="16" t="str">
        <f>IF(AND(VLOOKUP(B14,Jan!B:BA,6,FALSE)="", WEEKDAY(B14,2)=7,VLOOKUP(B14,Jan!B:BA,49,FALSE)&gt;0),VLOOKUP(B14,Jan!B:BA,49,FALSE)*24,"")</f>
        <v/>
      </c>
      <c r="G14" s="16" t="str">
        <f>IF(AND(VLOOKUP(B14,Jan!B:BA,6,FALSE)="",VLOOKUP(B14,Jan!B:BA,46,FALSE)&gt;0),VLOOKUP(B14,Jan!B:BA,46,FALSE)*24,"")</f>
        <v/>
      </c>
      <c r="H14" s="36" t="str">
        <f>IF(AND(VLOOKUP(B14,Jan!B:BA,6,FALSE)="",VLOOKUP(B14,Jan!B:BA,50,FALSE)&gt;0),VLOOKUP(B14,Jan!B:BA,50,FALSE)*24,"")</f>
        <v/>
      </c>
      <c r="I14" s="30" t="str">
        <f>IF(AND(NETWORKDAYS(B14,B14,Feiertage)=1,VLOOKUP(B14,Jan!B:BA,6,FALSE)="U"),"Urlaub","")</f>
        <v/>
      </c>
      <c r="J14" s="34" t="str">
        <f>IF(AND(VLOOKUP(B14,Jan!B:BA,6,FALSE)="",VLOOKUP(B14,Jan!B:BA,22,FALSE)&lt;0),"Absetzen von","")</f>
        <v/>
      </c>
      <c r="K14" s="263"/>
      <c r="M14" s="316" t="str">
        <f>IF(VLOOKUP(B14,Jan!B:BA,22,FALSE)&lt;&gt;0,VLOOKUP(B14,Jan!B:BA,22,FALSE),"")</f>
        <v/>
      </c>
      <c r="N14" s="327"/>
    </row>
    <row r="15" spans="1:14" x14ac:dyDescent="0.25">
      <c r="B15" s="245">
        <f>Jan!F9</f>
        <v>42005</v>
      </c>
      <c r="C15" s="35">
        <f t="shared" ref="C15:C44" si="0">B15</f>
        <v>42005</v>
      </c>
      <c r="D15" s="17" t="str">
        <f>IF(AND(VLOOKUP(B15,Jan!B:BA,8,FALSE)&gt;0,VLOOKUP(B15,Jan!B:BA,6,FALSE)=""), CONCATENATE(TEXT(VLOOKUP(B15,Jan!B:BA,7,FALSE),"hh:mm"), "-", TEXT(VLOOKUP(B15,Jan!B:BA,8,FALSE),"[hh]:mm")," Uhr ", IF(VLOOKUP(B15,Jan!B:BA,12,FALSE)&gt;0, CONCATENATE("und ",TEXT(VLOOKUP(B15,Jan!B:BA,12,FALSE),"hh:mm"), "-", TEXT(VLOOKUP(B15,Jan!B:BA,13,FALSE),"[hh]:mm")," Uhr "),"")), IF(VLOOKUP(B15,Jan!B:BA,6,FALSE)="","",VLOOKUP(VLOOKUP(B15,Jan!B:BA,6,FALSE),Legende_Code,2,FALSE)))</f>
        <v/>
      </c>
      <c r="E15" s="16" t="str">
        <f>IF(AND(VLOOKUP(B15,Jan!B:BA,6,FALSE)="", WEEKDAY(B15,2)=6,VLOOKUP(B15,Jan!B:BA,48,FALSE)&gt;0),VLOOKUP(B15,Jan!B:BA,48,FALSE)*24,"")</f>
        <v/>
      </c>
      <c r="F15" s="16" t="str">
        <f>IF(AND(VLOOKUP(B15,Jan!B:BA,6,FALSE)="", WEEKDAY(B15,2)=7,VLOOKUP(B15,Jan!B:BA,49,FALSE)&gt;0),VLOOKUP(B15,Jan!B:BA,49,FALSE)*24,"")</f>
        <v/>
      </c>
      <c r="G15" s="16" t="str">
        <f>IF(AND(VLOOKUP(B15,Jan!B:BA,6,FALSE)="",VLOOKUP(B15,Jan!B:BA,46,FALSE)&gt;0),VLOOKUP(B15,Jan!B:BA,46,FALSE)*24,"")</f>
        <v/>
      </c>
      <c r="H15" s="36" t="str">
        <f>IF(AND(VLOOKUP(B15,Jan!B:BA,6,FALSE)="",VLOOKUP(B15,Jan!B:BA,50,FALSE)&gt;0),VLOOKUP(B15,Jan!B:BA,50,FALSE)*24,"")</f>
        <v/>
      </c>
      <c r="I15" s="30" t="str">
        <f>IF(AND(NETWORKDAYS(B15,B15,Feiertage)=1,VLOOKUP(B15,Jan!B:BA,6,FALSE)="U"),"Urlaub","")</f>
        <v/>
      </c>
      <c r="J15" s="34" t="str">
        <f ca="1">IF(AND(VLOOKUP(B15,Jan!B:BA,6,FALSE)="",VLOOKUP(B15,Jan!B:BA,22,FALSE)&lt;0),"Absetzen von","")</f>
        <v/>
      </c>
      <c r="K15" s="264"/>
      <c r="M15" s="316" t="str">
        <f ca="1">IF(VLOOKUP(B15,Jan!B:BA,22,FALSE)&lt;&gt;0,VLOOKUP(B15,Jan!B:BA,22,FALSE),"")</f>
        <v/>
      </c>
      <c r="N15" s="327"/>
    </row>
    <row r="16" spans="1:14" x14ac:dyDescent="0.25">
      <c r="B16" s="245">
        <f>Jan!F10</f>
        <v>42006</v>
      </c>
      <c r="C16" s="35">
        <f t="shared" si="0"/>
        <v>42006</v>
      </c>
      <c r="D16" s="17" t="str">
        <f>IF(AND(VLOOKUP(B16,Jan!B:BA,8,FALSE)&gt;0,VLOOKUP(B16,Jan!B:BA,6,FALSE)=""), CONCATENATE(TEXT(VLOOKUP(B16,Jan!B:BA,7,FALSE),"hh:mm"), "-", TEXT(VLOOKUP(B16,Jan!B:BA,8,FALSE),"[hh]:mm")," Uhr ", IF(VLOOKUP(B16,Jan!B:BA,12,FALSE)&gt;0, CONCATENATE("und ",TEXT(VLOOKUP(B16,Jan!B:BA,12,FALSE),"hh:mm"), "-", TEXT(VLOOKUP(B16,Jan!B:BA,13,FALSE),"[hh]:mm")," Uhr "),"")), IF(VLOOKUP(B16,Jan!B:BA,6,FALSE)="","",VLOOKUP(VLOOKUP(B16,Jan!B:BA,6,FALSE),Legende_Code,2,FALSE)))</f>
        <v/>
      </c>
      <c r="E16" s="16" t="str">
        <f>IF(AND(VLOOKUP(B16,Jan!B:BA,6,FALSE)="", WEEKDAY(B16,2)=6,VLOOKUP(B16,Jan!B:BA,48,FALSE)&gt;0),VLOOKUP(B16,Jan!B:BA,48,FALSE)*24,"")</f>
        <v/>
      </c>
      <c r="F16" s="16" t="str">
        <f>IF(AND(VLOOKUP(B16,Jan!B:BA,6,FALSE)="", WEEKDAY(B16,2)=7,VLOOKUP(B16,Jan!B:BA,49,FALSE)&gt;0),VLOOKUP(B16,Jan!B:BA,49,FALSE)*24,"")</f>
        <v/>
      </c>
      <c r="G16" s="16" t="str">
        <f>IF(AND(VLOOKUP(B16,Jan!B:BA,6,FALSE)="",VLOOKUP(B16,Jan!B:BA,46,FALSE)&gt;0),VLOOKUP(B16,Jan!B:BA,46,FALSE)*24,"")</f>
        <v/>
      </c>
      <c r="H16" s="36" t="str">
        <f>IF(AND(VLOOKUP(B16,Jan!B:BA,6,FALSE)="",VLOOKUP(B16,Jan!B:BA,50,FALSE)&gt;0),VLOOKUP(B16,Jan!B:BA,50,FALSE)*24,"")</f>
        <v/>
      </c>
      <c r="I16" s="30" t="str">
        <f>IF(AND(NETWORKDAYS(B16,B16,Feiertage)=1,VLOOKUP(B16,Jan!B:BA,6,FALSE)="U"),"Urlaub","")</f>
        <v/>
      </c>
      <c r="J16" s="34" t="str">
        <f ca="1">IF(AND(VLOOKUP(B16,Jan!B:BA,6,FALSE)="",VLOOKUP(B16,Jan!B:BA,22,FALSE)&lt;0),"Absetzen von","")</f>
        <v/>
      </c>
      <c r="K16" s="263"/>
      <c r="M16" s="316" t="str">
        <f ca="1">IF(VLOOKUP(B16,Jan!B:BA,22,FALSE)&lt;&gt;0,VLOOKUP(B16,Jan!B:BA,22,FALSE),"")</f>
        <v/>
      </c>
      <c r="N16" s="327"/>
    </row>
    <row r="17" spans="2:14" x14ac:dyDescent="0.25">
      <c r="B17" s="245">
        <f>Jan!F11</f>
        <v>42007</v>
      </c>
      <c r="C17" s="35">
        <f t="shared" si="0"/>
        <v>42007</v>
      </c>
      <c r="D17" s="17" t="str">
        <f>IF(AND(VLOOKUP(B17,Jan!B:BA,8,FALSE)&gt;0,VLOOKUP(B17,Jan!B:BA,6,FALSE)=""), CONCATENATE(TEXT(VLOOKUP(B17,Jan!B:BA,7,FALSE),"hh:mm"), "-", TEXT(VLOOKUP(B17,Jan!B:BA,8,FALSE),"[hh]:mm")," Uhr ", IF(VLOOKUP(B17,Jan!B:BA,12,FALSE)&gt;0, CONCATENATE("und ",TEXT(VLOOKUP(B17,Jan!B:BA,12,FALSE),"hh:mm"), "-", TEXT(VLOOKUP(B17,Jan!B:BA,13,FALSE),"[hh]:mm")," Uhr "),"")), IF(VLOOKUP(B17,Jan!B:BA,6,FALSE)="","",VLOOKUP(VLOOKUP(B17,Jan!B:BA,6,FALSE),Legende_Code,2,FALSE)))</f>
        <v/>
      </c>
      <c r="E17" s="16" t="str">
        <f>IF(AND(VLOOKUP(B17,Jan!B:BA,6,FALSE)="", WEEKDAY(B17,2)=6,VLOOKUP(B17,Jan!B:BA,48,FALSE)&gt;0),VLOOKUP(B17,Jan!B:BA,48,FALSE)*24,"")</f>
        <v/>
      </c>
      <c r="F17" s="16" t="str">
        <f>IF(AND(VLOOKUP(B17,Jan!B:BA,6,FALSE)="", WEEKDAY(B17,2)=7,VLOOKUP(B17,Jan!B:BA,49,FALSE)&gt;0),VLOOKUP(B17,Jan!B:BA,49,FALSE)*24,"")</f>
        <v/>
      </c>
      <c r="G17" s="16" t="str">
        <f>IF(AND(VLOOKUP(B17,Jan!B:BA,6,FALSE)="",VLOOKUP(B17,Jan!B:BA,46,FALSE)&gt;0),VLOOKUP(B17,Jan!B:BA,46,FALSE)*24,"")</f>
        <v/>
      </c>
      <c r="H17" s="36" t="str">
        <f>IF(AND(VLOOKUP(B17,Jan!B:BA,6,FALSE)="",VLOOKUP(B17,Jan!B:BA,50,FALSE)&gt;0),VLOOKUP(B17,Jan!B:BA,50,FALSE)*24,"")</f>
        <v/>
      </c>
      <c r="I17" s="30" t="str">
        <f>IF(AND(NETWORKDAYS(B17,B17,Feiertage)=1,VLOOKUP(B17,Jan!B:BA,6,FALSE)="U"),"Urlaub","")</f>
        <v/>
      </c>
      <c r="J17" s="34" t="str">
        <f ca="1">IF(AND(VLOOKUP(B17,Jan!B:BA,6,FALSE)="",VLOOKUP(B17,Jan!B:BA,22,FALSE)&lt;0),"Absetzen von","")</f>
        <v/>
      </c>
      <c r="K17" s="265"/>
      <c r="M17" s="316" t="str">
        <f ca="1">IF(VLOOKUP(B17,Jan!B:BA,22,FALSE)&lt;&gt;0,VLOOKUP(B17,Jan!B:BA,22,FALSE),"")</f>
        <v/>
      </c>
      <c r="N17" s="327"/>
    </row>
    <row r="18" spans="2:14" x14ac:dyDescent="0.25">
      <c r="B18" s="245">
        <f>Jan!F12</f>
        <v>42008</v>
      </c>
      <c r="C18" s="35">
        <f t="shared" si="0"/>
        <v>42008</v>
      </c>
      <c r="D18" s="17" t="str">
        <f>IF(AND(VLOOKUP(B18,Jan!B:BA,8,FALSE)&gt;0,VLOOKUP(B18,Jan!B:BA,6,FALSE)=""), CONCATENATE(TEXT(VLOOKUP(B18,Jan!B:BA,7,FALSE),"hh:mm"), "-", TEXT(VLOOKUP(B18,Jan!B:BA,8,FALSE),"[hh]:mm")," Uhr ", IF(VLOOKUP(B18,Jan!B:BA,12,FALSE)&gt;0, CONCATENATE("und ",TEXT(VLOOKUP(B18,Jan!B:BA,12,FALSE),"hh:mm"), "-", TEXT(VLOOKUP(B18,Jan!B:BA,13,FALSE),"[hh]:mm")," Uhr "),"")), IF(VLOOKUP(B18,Jan!B:BA,6,FALSE)="","",VLOOKUP(VLOOKUP(B18,Jan!B:BA,6,FALSE),Legende_Code,2,FALSE)))</f>
        <v/>
      </c>
      <c r="E18" s="16" t="str">
        <f>IF(AND(VLOOKUP(B18,Jan!B:BA,6,FALSE)="", WEEKDAY(B18,2)=6,VLOOKUP(B18,Jan!B:BA,48,FALSE)&gt;0),VLOOKUP(B18,Jan!B:BA,48,FALSE)*24,"")</f>
        <v/>
      </c>
      <c r="F18" s="16" t="str">
        <f>IF(AND(VLOOKUP(B18,Jan!B:BA,6,FALSE)="", WEEKDAY(B18,2)=7,VLOOKUP(B18,Jan!B:BA,49,FALSE)&gt;0),VLOOKUP(B18,Jan!B:BA,49,FALSE)*24,"")</f>
        <v/>
      </c>
      <c r="G18" s="16" t="str">
        <f>IF(AND(VLOOKUP(B18,Jan!B:BA,6,FALSE)="",VLOOKUP(B18,Jan!B:BA,46,FALSE)&gt;0),VLOOKUP(B18,Jan!B:BA,46,FALSE)*24,"")</f>
        <v/>
      </c>
      <c r="H18" s="36" t="str">
        <f>IF(AND(VLOOKUP(B18,Jan!B:BA,6,FALSE)="",VLOOKUP(B18,Jan!B:BA,50,FALSE)&gt;0),VLOOKUP(B18,Jan!B:BA,50,FALSE)*24,"")</f>
        <v/>
      </c>
      <c r="I18" s="30" t="str">
        <f>IF(AND(NETWORKDAYS(B18,B18,Feiertage)=1,VLOOKUP(B18,Jan!B:BA,6,FALSE)="U"),"Urlaub","")</f>
        <v/>
      </c>
      <c r="J18" s="34" t="str">
        <f ca="1">IF(AND(VLOOKUP(B18,Jan!B:BA,6,FALSE)="",VLOOKUP(B18,Jan!B:BA,22,FALSE)&lt;0),"Absetzen von","")</f>
        <v/>
      </c>
      <c r="K18" s="263"/>
      <c r="M18" s="316" t="str">
        <f ca="1">IF(VLOOKUP(B18,Jan!B:BA,22,FALSE)&lt;&gt;0,VLOOKUP(B18,Jan!B:BA,22,FALSE),"")</f>
        <v/>
      </c>
      <c r="N18" s="327"/>
    </row>
    <row r="19" spans="2:14" x14ac:dyDescent="0.25">
      <c r="B19" s="245">
        <f>Jan!F13</f>
        <v>42009</v>
      </c>
      <c r="C19" s="35">
        <f t="shared" si="0"/>
        <v>42009</v>
      </c>
      <c r="D19" s="17" t="str">
        <f>IF(AND(VLOOKUP(B19,Jan!B:BA,8,FALSE)&gt;0,VLOOKUP(B19,Jan!B:BA,6,FALSE)=""), CONCATENATE(TEXT(VLOOKUP(B19,Jan!B:BA,7,FALSE),"hh:mm"), "-", TEXT(VLOOKUP(B19,Jan!B:BA,8,FALSE),"[hh]:mm")," Uhr ", IF(VLOOKUP(B19,Jan!B:BA,12,FALSE)&gt;0, CONCATENATE("und ",TEXT(VLOOKUP(B19,Jan!B:BA,12,FALSE),"hh:mm"), "-", TEXT(VLOOKUP(B19,Jan!B:BA,13,FALSE),"[hh]:mm")," Uhr "),"")), IF(VLOOKUP(B19,Jan!B:BA,6,FALSE)="","",VLOOKUP(VLOOKUP(B19,Jan!B:BA,6,FALSE),Legende_Code,2,FALSE)))</f>
        <v/>
      </c>
      <c r="E19" s="16" t="str">
        <f>IF(AND(VLOOKUP(B19,Jan!B:BA,6,FALSE)="", WEEKDAY(B19,2)=6,VLOOKUP(B19,Jan!B:BA,48,FALSE)&gt;0),VLOOKUP(B19,Jan!B:BA,48,FALSE)*24,"")</f>
        <v/>
      </c>
      <c r="F19" s="16" t="str">
        <f>IF(AND(VLOOKUP(B19,Jan!B:BA,6,FALSE)="", WEEKDAY(B19,2)=7,VLOOKUP(B19,Jan!B:BA,49,FALSE)&gt;0),VLOOKUP(B19,Jan!B:BA,49,FALSE)*24,"")</f>
        <v/>
      </c>
      <c r="G19" s="16" t="str">
        <f>IF(AND(VLOOKUP(B19,Jan!B:BA,6,FALSE)="",VLOOKUP(B19,Jan!B:BA,46,FALSE)&gt;0),VLOOKUP(B19,Jan!B:BA,46,FALSE)*24,"")</f>
        <v/>
      </c>
      <c r="H19" s="36" t="str">
        <f>IF(AND(VLOOKUP(B19,Jan!B:BA,6,FALSE)="",VLOOKUP(B19,Jan!B:BA,50,FALSE)&gt;0),VLOOKUP(B19,Jan!B:BA,50,FALSE)*24,"")</f>
        <v/>
      </c>
      <c r="I19" s="30" t="str">
        <f>IF(AND(NETWORKDAYS(B19,B19,Feiertage)=1,VLOOKUP(B19,Jan!B:BA,6,FALSE)="U"),"Urlaub","")</f>
        <v/>
      </c>
      <c r="J19" s="34" t="str">
        <f ca="1">IF(AND(VLOOKUP(B19,Jan!B:BA,6,FALSE)="",VLOOKUP(B19,Jan!B:BA,22,FALSE)&lt;0),"Absetzen von","")</f>
        <v/>
      </c>
      <c r="K19" s="265"/>
      <c r="M19" s="316" t="str">
        <f ca="1">IF(VLOOKUP(B19,Jan!B:BA,22,FALSE)&lt;&gt;0,VLOOKUP(B19,Jan!B:BA,22,FALSE),"")</f>
        <v/>
      </c>
      <c r="N19" s="327"/>
    </row>
    <row r="20" spans="2:14" x14ac:dyDescent="0.25">
      <c r="B20" s="245">
        <f>Jan!F14</f>
        <v>42010</v>
      </c>
      <c r="C20" s="35">
        <f t="shared" si="0"/>
        <v>42010</v>
      </c>
      <c r="D20" s="17" t="str">
        <f>IF(AND(VLOOKUP(B20,Jan!B:BA,8,FALSE)&gt;0,VLOOKUP(B20,Jan!B:BA,6,FALSE)=""), CONCATENATE(TEXT(VLOOKUP(B20,Jan!B:BA,7,FALSE),"hh:mm"), "-", TEXT(VLOOKUP(B20,Jan!B:BA,8,FALSE),"[hh]:mm")," Uhr ", IF(VLOOKUP(B20,Jan!B:BA,12,FALSE)&gt;0, CONCATENATE("und ",TEXT(VLOOKUP(B20,Jan!B:BA,12,FALSE),"hh:mm"), "-", TEXT(VLOOKUP(B20,Jan!B:BA,13,FALSE),"[hh]:mm")," Uhr "),"")), IF(VLOOKUP(B20,Jan!B:BA,6,FALSE)="","",VLOOKUP(VLOOKUP(B20,Jan!B:BA,6,FALSE),Legende_Code,2,FALSE)))</f>
        <v/>
      </c>
      <c r="E20" s="16" t="str">
        <f>IF(AND(VLOOKUP(B20,Jan!B:BA,6,FALSE)="", WEEKDAY(B20,2)=6,VLOOKUP(B20,Jan!B:BA,48,FALSE)&gt;0),VLOOKUP(B20,Jan!B:BA,48,FALSE)*24,"")</f>
        <v/>
      </c>
      <c r="F20" s="16" t="str">
        <f>IF(AND(VLOOKUP(B20,Jan!B:BA,6,FALSE)="", WEEKDAY(B20,2)=7,VLOOKUP(B20,Jan!B:BA,49,FALSE)&gt;0),VLOOKUP(B20,Jan!B:BA,49,FALSE)*24,"")</f>
        <v/>
      </c>
      <c r="G20" s="16" t="str">
        <f>IF(AND(VLOOKUP(B20,Jan!B:BA,6,FALSE)="",VLOOKUP(B20,Jan!B:BA,46,FALSE)&gt;0),VLOOKUP(B20,Jan!B:BA,46,FALSE)*24,"")</f>
        <v/>
      </c>
      <c r="H20" s="36" t="str">
        <f>IF(AND(VLOOKUP(B20,Jan!B:BA,6,FALSE)="",VLOOKUP(B20,Jan!B:BA,50,FALSE)&gt;0),VLOOKUP(B20,Jan!B:BA,50,FALSE)*24,"")</f>
        <v/>
      </c>
      <c r="I20" s="30" t="str">
        <f>IF(AND(NETWORKDAYS(B20,B20,Feiertage)=1,VLOOKUP(B20,Jan!B:BA,6,FALSE)="U"),"Urlaub","")</f>
        <v/>
      </c>
      <c r="J20" s="34" t="str">
        <f ca="1">IF(AND(VLOOKUP(B20,Jan!B:BA,6,FALSE)="",VLOOKUP(B20,Jan!B:BA,22,FALSE)&lt;0),"Absetzen von","")</f>
        <v/>
      </c>
      <c r="K20" s="263"/>
      <c r="M20" s="316" t="str">
        <f ca="1">IF(VLOOKUP(B20,Jan!B:BA,22,FALSE)&lt;&gt;0,VLOOKUP(B20,Jan!B:BA,22,FALSE),"")</f>
        <v/>
      </c>
      <c r="N20" s="327"/>
    </row>
    <row r="21" spans="2:14" x14ac:dyDescent="0.25">
      <c r="B21" s="245">
        <f>Jan!F15</f>
        <v>42011</v>
      </c>
      <c r="C21" s="35">
        <f t="shared" si="0"/>
        <v>42011</v>
      </c>
      <c r="D21" s="17" t="str">
        <f>IF(AND(VLOOKUP(B21,Jan!B:BA,8,FALSE)&gt;0,VLOOKUP(B21,Jan!B:BA,6,FALSE)=""), CONCATENATE(TEXT(VLOOKUP(B21,Jan!B:BA,7,FALSE),"hh:mm"), "-", TEXT(VLOOKUP(B21,Jan!B:BA,8,FALSE),"[hh]:mm")," Uhr ", IF(VLOOKUP(B21,Jan!B:BA,12,FALSE)&gt;0, CONCATENATE("und ",TEXT(VLOOKUP(B21,Jan!B:BA,12,FALSE),"hh:mm"), "-", TEXT(VLOOKUP(B21,Jan!B:BA,13,FALSE),"[hh]:mm")," Uhr "),"")), IF(VLOOKUP(B21,Jan!B:BA,6,FALSE)="","",VLOOKUP(VLOOKUP(B21,Jan!B:BA,6,FALSE),Legende_Code,2,FALSE)))</f>
        <v/>
      </c>
      <c r="E21" s="16" t="str">
        <f>IF(AND(VLOOKUP(B21,Jan!B:BA,6,FALSE)="", WEEKDAY(B21,2)=6,VLOOKUP(B21,Jan!B:BA,48,FALSE)&gt;0),VLOOKUP(B21,Jan!B:BA,48,FALSE)*24,"")</f>
        <v/>
      </c>
      <c r="F21" s="16" t="str">
        <f>IF(AND(VLOOKUP(B21,Jan!B:BA,6,FALSE)="", WEEKDAY(B21,2)=7,VLOOKUP(B21,Jan!B:BA,49,FALSE)&gt;0),VLOOKUP(B21,Jan!B:BA,49,FALSE)*24,"")</f>
        <v/>
      </c>
      <c r="G21" s="16" t="str">
        <f>IF(AND(VLOOKUP(B21,Jan!B:BA,6,FALSE)="",VLOOKUP(B21,Jan!B:BA,46,FALSE)&gt;0),VLOOKUP(B21,Jan!B:BA,46,FALSE)*24,"")</f>
        <v/>
      </c>
      <c r="H21" s="36" t="str">
        <f>IF(AND(VLOOKUP(B21,Jan!B:BA,6,FALSE)="",VLOOKUP(B21,Jan!B:BA,50,FALSE)&gt;0),VLOOKUP(B21,Jan!B:BA,50,FALSE)*24,"")</f>
        <v/>
      </c>
      <c r="I21" s="30" t="str">
        <f>IF(AND(NETWORKDAYS(B21,B21,Feiertage)=1,VLOOKUP(B21,Jan!B:BA,6,FALSE)="U"),"Urlaub","")</f>
        <v/>
      </c>
      <c r="J21" s="34" t="str">
        <f ca="1">IF(AND(VLOOKUP(B21,Jan!B:BA,6,FALSE)="",VLOOKUP(B21,Jan!B:BA,22,FALSE)&lt;0),"Absetzen von","")</f>
        <v/>
      </c>
      <c r="K21" s="265"/>
      <c r="M21" s="316" t="str">
        <f ca="1">IF(VLOOKUP(B21,Jan!B:BA,22,FALSE)&lt;&gt;0,VLOOKUP(B21,Jan!B:BA,22,FALSE),"")</f>
        <v/>
      </c>
      <c r="N21" s="327"/>
    </row>
    <row r="22" spans="2:14" x14ac:dyDescent="0.25">
      <c r="B22" s="245">
        <f>Jan!F16</f>
        <v>42012</v>
      </c>
      <c r="C22" s="35">
        <f t="shared" si="0"/>
        <v>42012</v>
      </c>
      <c r="D22" s="17" t="str">
        <f>IF(AND(VLOOKUP(B22,Jan!B:BA,8,FALSE)&gt;0,VLOOKUP(B22,Jan!B:BA,6,FALSE)=""), CONCATENATE(TEXT(VLOOKUP(B22,Jan!B:BA,7,FALSE),"hh:mm"), "-", TEXT(VLOOKUP(B22,Jan!B:BA,8,FALSE),"[hh]:mm")," Uhr ", IF(VLOOKUP(B22,Jan!B:BA,12,FALSE)&gt;0, CONCATENATE("und ",TEXT(VLOOKUP(B22,Jan!B:BA,12,FALSE),"hh:mm"), "-", TEXT(VLOOKUP(B22,Jan!B:BA,13,FALSE),"[hh]:mm")," Uhr "),"")), IF(VLOOKUP(B22,Jan!B:BA,6,FALSE)="","",VLOOKUP(VLOOKUP(B22,Jan!B:BA,6,FALSE),Legende_Code,2,FALSE)))</f>
        <v/>
      </c>
      <c r="E22" s="16" t="str">
        <f>IF(AND(VLOOKUP(B22,Jan!B:BA,6,FALSE)="", WEEKDAY(B22,2)=6,VLOOKUP(B22,Jan!B:BA,48,FALSE)&gt;0),VLOOKUP(B22,Jan!B:BA,48,FALSE)*24,"")</f>
        <v/>
      </c>
      <c r="F22" s="16" t="str">
        <f>IF(AND(VLOOKUP(B22,Jan!B:BA,6,FALSE)="", WEEKDAY(B22,2)=7,VLOOKUP(B22,Jan!B:BA,49,FALSE)&gt;0),VLOOKUP(B22,Jan!B:BA,49,FALSE)*24,"")</f>
        <v/>
      </c>
      <c r="G22" s="16" t="str">
        <f>IF(AND(VLOOKUP(B22,Jan!B:BA,6,FALSE)="",VLOOKUP(B22,Jan!B:BA,46,FALSE)&gt;0),VLOOKUP(B22,Jan!B:BA,46,FALSE)*24,"")</f>
        <v/>
      </c>
      <c r="H22" s="36" t="str">
        <f>IF(AND(VLOOKUP(B22,Jan!B:BA,6,FALSE)="",VLOOKUP(B22,Jan!B:BA,50,FALSE)&gt;0),VLOOKUP(B22,Jan!B:BA,50,FALSE)*24,"")</f>
        <v/>
      </c>
      <c r="I22" s="30" t="str">
        <f>IF(AND(NETWORKDAYS(B22,B22,Feiertage)=1,VLOOKUP(B22,Jan!B:BA,6,FALSE)="U"),"Urlaub","")</f>
        <v/>
      </c>
      <c r="J22" s="34" t="str">
        <f ca="1">IF(AND(VLOOKUP(B22,Jan!B:BA,6,FALSE)="",VLOOKUP(B22,Jan!B:BA,22,FALSE)&lt;0),"Absetzen von","")</f>
        <v/>
      </c>
      <c r="K22" s="263"/>
      <c r="M22" s="316" t="str">
        <f ca="1">IF(VLOOKUP(B22,Jan!B:BA,22,FALSE)&lt;&gt;0,VLOOKUP(B22,Jan!B:BA,22,FALSE),"")</f>
        <v/>
      </c>
      <c r="N22" s="327"/>
    </row>
    <row r="23" spans="2:14" x14ac:dyDescent="0.25">
      <c r="B23" s="245">
        <f>Jan!F17</f>
        <v>42013</v>
      </c>
      <c r="C23" s="35">
        <f t="shared" si="0"/>
        <v>42013</v>
      </c>
      <c r="D23" s="17" t="str">
        <f>IF(AND(VLOOKUP(B23,Jan!B:BA,8,FALSE)&gt;0,VLOOKUP(B23,Jan!B:BA,6,FALSE)=""), CONCATENATE(TEXT(VLOOKUP(B23,Jan!B:BA,7,FALSE),"hh:mm"), "-", TEXT(VLOOKUP(B23,Jan!B:BA,8,FALSE),"[hh]:mm")," Uhr ", IF(VLOOKUP(B23,Jan!B:BA,12,FALSE)&gt;0, CONCATENATE("und ",TEXT(VLOOKUP(B23,Jan!B:BA,12,FALSE),"hh:mm"), "-", TEXT(VLOOKUP(B23,Jan!B:BA,13,FALSE),"[hh]:mm")," Uhr "),"")), IF(VLOOKUP(B23,Jan!B:BA,6,FALSE)="","",VLOOKUP(VLOOKUP(B23,Jan!B:BA,6,FALSE),Legende_Code,2,FALSE)))</f>
        <v/>
      </c>
      <c r="E23" s="16" t="str">
        <f>IF(AND(VLOOKUP(B23,Jan!B:BA,6,FALSE)="", WEEKDAY(B23,2)=6,VLOOKUP(B23,Jan!B:BA,48,FALSE)&gt;0),VLOOKUP(B23,Jan!B:BA,48,FALSE)*24,"")</f>
        <v/>
      </c>
      <c r="F23" s="16" t="str">
        <f>IF(AND(VLOOKUP(B23,Jan!B:BA,6,FALSE)="", WEEKDAY(B23,2)=7,VLOOKUP(B23,Jan!B:BA,49,FALSE)&gt;0),VLOOKUP(B23,Jan!B:BA,49,FALSE)*24,"")</f>
        <v/>
      </c>
      <c r="G23" s="16" t="str">
        <f>IF(AND(VLOOKUP(B23,Jan!B:BA,6,FALSE)="",VLOOKUP(B23,Jan!B:BA,46,FALSE)&gt;0),VLOOKUP(B23,Jan!B:BA,46,FALSE)*24,"")</f>
        <v/>
      </c>
      <c r="H23" s="36" t="str">
        <f>IF(AND(VLOOKUP(B23,Jan!B:BA,6,FALSE)="",VLOOKUP(B23,Jan!B:BA,50,FALSE)&gt;0),VLOOKUP(B23,Jan!B:BA,50,FALSE)*24,"")</f>
        <v/>
      </c>
      <c r="I23" s="30" t="str">
        <f>IF(AND(NETWORKDAYS(B23,B23,Feiertage)=1,VLOOKUP(B23,Jan!B:BA,6,FALSE)="U"),"Urlaub","")</f>
        <v/>
      </c>
      <c r="J23" s="34" t="str">
        <f ca="1">IF(AND(VLOOKUP(B23,Jan!B:BA,6,FALSE)="",VLOOKUP(B23,Jan!B:BA,22,FALSE)&lt;0),"Absetzen von","")</f>
        <v/>
      </c>
      <c r="K23" s="265"/>
      <c r="M23" s="316" t="str">
        <f ca="1">IF(VLOOKUP(B23,Jan!B:BA,22,FALSE)&lt;&gt;0,VLOOKUP(B23,Jan!B:BA,22,FALSE),"")</f>
        <v/>
      </c>
      <c r="N23" s="327"/>
    </row>
    <row r="24" spans="2:14" x14ac:dyDescent="0.25">
      <c r="B24" s="245">
        <f>Jan!F18</f>
        <v>42014</v>
      </c>
      <c r="C24" s="35">
        <f t="shared" si="0"/>
        <v>42014</v>
      </c>
      <c r="D24" s="17" t="str">
        <f>IF(AND(VLOOKUP(B24,Jan!B:BA,8,FALSE)&gt;0,VLOOKUP(B24,Jan!B:BA,6,FALSE)=""), CONCATENATE(TEXT(VLOOKUP(B24,Jan!B:BA,7,FALSE),"hh:mm"), "-", TEXT(VLOOKUP(B24,Jan!B:BA,8,FALSE),"[hh]:mm")," Uhr ", IF(VLOOKUP(B24,Jan!B:BA,12,FALSE)&gt;0, CONCATENATE("und ",TEXT(VLOOKUP(B24,Jan!B:BA,12,FALSE),"hh:mm"), "-", TEXT(VLOOKUP(B24,Jan!B:BA,13,FALSE),"[hh]:mm")," Uhr "),"")), IF(VLOOKUP(B24,Jan!B:BA,6,FALSE)="","",VLOOKUP(VLOOKUP(B24,Jan!B:BA,6,FALSE),Legende_Code,2,FALSE)))</f>
        <v/>
      </c>
      <c r="E24" s="16" t="str">
        <f>IF(AND(VLOOKUP(B24,Jan!B:BA,6,FALSE)="", WEEKDAY(B24,2)=6,VLOOKUP(B24,Jan!B:BA,48,FALSE)&gt;0),VLOOKUP(B24,Jan!B:BA,48,FALSE)*24,"")</f>
        <v/>
      </c>
      <c r="F24" s="16" t="str">
        <f>IF(AND(VLOOKUP(B24,Jan!B:BA,6,FALSE)="", WEEKDAY(B24,2)=7,VLOOKUP(B24,Jan!B:BA,49,FALSE)&gt;0),VLOOKUP(B24,Jan!B:BA,49,FALSE)*24,"")</f>
        <v/>
      </c>
      <c r="G24" s="16" t="str">
        <f>IF(AND(VLOOKUP(B24,Jan!B:BA,6,FALSE)="",VLOOKUP(B24,Jan!B:BA,46,FALSE)&gt;0),VLOOKUP(B24,Jan!B:BA,46,FALSE)*24,"")</f>
        <v/>
      </c>
      <c r="H24" s="36" t="str">
        <f>IF(AND(VLOOKUP(B24,Jan!B:BA,6,FALSE)="",VLOOKUP(B24,Jan!B:BA,50,FALSE)&gt;0),VLOOKUP(B24,Jan!B:BA,50,FALSE)*24,"")</f>
        <v/>
      </c>
      <c r="I24" s="30" t="str">
        <f>IF(AND(NETWORKDAYS(B24,B24,Feiertage)=1,VLOOKUP(B24,Jan!B:BA,6,FALSE)="U"),"Urlaub","")</f>
        <v/>
      </c>
      <c r="J24" s="34" t="str">
        <f ca="1">IF(AND(VLOOKUP(B24,Jan!B:BA,6,FALSE)="",VLOOKUP(B24,Jan!B:BA,22,FALSE)&lt;0),"Absetzen von","")</f>
        <v/>
      </c>
      <c r="K24" s="263"/>
      <c r="M24" s="316" t="str">
        <f ca="1">IF(VLOOKUP(B24,Jan!B:BA,22,FALSE)&lt;&gt;0,VLOOKUP(B24,Jan!B:BA,22,FALSE),"")</f>
        <v/>
      </c>
      <c r="N24" s="327"/>
    </row>
    <row r="25" spans="2:14" x14ac:dyDescent="0.25">
      <c r="B25" s="245">
        <f>Jan!F19</f>
        <v>42015</v>
      </c>
      <c r="C25" s="35">
        <f t="shared" si="0"/>
        <v>42015</v>
      </c>
      <c r="D25" s="17" t="str">
        <f>IF(AND(VLOOKUP(B25,Jan!B:BA,8,FALSE)&gt;0,VLOOKUP(B25,Jan!B:BA,6,FALSE)=""), CONCATENATE(TEXT(VLOOKUP(B25,Jan!B:BA,7,FALSE),"hh:mm"), "-", TEXT(VLOOKUP(B25,Jan!B:BA,8,FALSE),"[hh]:mm")," Uhr ", IF(VLOOKUP(B25,Jan!B:BA,12,FALSE)&gt;0, CONCATENATE("und ",TEXT(VLOOKUP(B25,Jan!B:BA,12,FALSE),"hh:mm"), "-", TEXT(VLOOKUP(B25,Jan!B:BA,13,FALSE),"[hh]:mm")," Uhr "),"")), IF(VLOOKUP(B25,Jan!B:BA,6,FALSE)="","",VLOOKUP(VLOOKUP(B25,Jan!B:BA,6,FALSE),Legende_Code,2,FALSE)))</f>
        <v/>
      </c>
      <c r="E25" s="16" t="str">
        <f>IF(AND(VLOOKUP(B25,Jan!B:BA,6,FALSE)="", WEEKDAY(B25,2)=6,VLOOKUP(B25,Jan!B:BA,48,FALSE)&gt;0),VLOOKUP(B25,Jan!B:BA,48,FALSE)*24,"")</f>
        <v/>
      </c>
      <c r="F25" s="16" t="str">
        <f>IF(AND(VLOOKUP(B25,Jan!B:BA,6,FALSE)="", WEEKDAY(B25,2)=7,VLOOKUP(B25,Jan!B:BA,49,FALSE)&gt;0),VLOOKUP(B25,Jan!B:BA,49,FALSE)*24,"")</f>
        <v/>
      </c>
      <c r="G25" s="16" t="str">
        <f>IF(AND(VLOOKUP(B25,Jan!B:BA,6,FALSE)="",VLOOKUP(B25,Jan!B:BA,46,FALSE)&gt;0),VLOOKUP(B25,Jan!B:BA,46,FALSE)*24,"")</f>
        <v/>
      </c>
      <c r="H25" s="36" t="str">
        <f>IF(AND(VLOOKUP(B25,Jan!B:BA,6,FALSE)="",VLOOKUP(B25,Jan!B:BA,50,FALSE)&gt;0),VLOOKUP(B25,Jan!B:BA,50,FALSE)*24,"")</f>
        <v/>
      </c>
      <c r="I25" s="30" t="str">
        <f>IF(AND(NETWORKDAYS(B25,B25,Feiertage)=1,VLOOKUP(B25,Jan!B:BA,6,FALSE)="U"),"Urlaub","")</f>
        <v/>
      </c>
      <c r="J25" s="34" t="str">
        <f ca="1">IF(AND(VLOOKUP(B25,Jan!B:BA,6,FALSE)="",VLOOKUP(B25,Jan!B:BA,22,FALSE)&lt;0),"Absetzen von","")</f>
        <v/>
      </c>
      <c r="K25" s="265"/>
      <c r="M25" s="316" t="str">
        <f ca="1">IF(VLOOKUP(B25,Jan!B:BA,22,FALSE)&lt;&gt;0,VLOOKUP(B25,Jan!B:BA,22,FALSE),"")</f>
        <v/>
      </c>
      <c r="N25" s="327"/>
    </row>
    <row r="26" spans="2:14" x14ac:dyDescent="0.25">
      <c r="B26" s="245">
        <f>Jan!F20</f>
        <v>42016</v>
      </c>
      <c r="C26" s="35">
        <f t="shared" si="0"/>
        <v>42016</v>
      </c>
      <c r="D26" s="17" t="str">
        <f>IF(AND(VLOOKUP(B26,Jan!B:BA,8,FALSE)&gt;0,VLOOKUP(B26,Jan!B:BA,6,FALSE)=""), CONCATENATE(TEXT(VLOOKUP(B26,Jan!B:BA,7,FALSE),"hh:mm"), "-", TEXT(VLOOKUP(B26,Jan!B:BA,8,FALSE),"[hh]:mm")," Uhr ", IF(VLOOKUP(B26,Jan!B:BA,12,FALSE)&gt;0, CONCATENATE("und ",TEXT(VLOOKUP(B26,Jan!B:BA,12,FALSE),"hh:mm"), "-", TEXT(VLOOKUP(B26,Jan!B:BA,13,FALSE),"[hh]:mm")," Uhr "),"")), IF(VLOOKUP(B26,Jan!B:BA,6,FALSE)="","",VLOOKUP(VLOOKUP(B26,Jan!B:BA,6,FALSE),Legende_Code,2,FALSE)))</f>
        <v/>
      </c>
      <c r="E26" s="16" t="str">
        <f>IF(AND(VLOOKUP(B26,Jan!B:BA,6,FALSE)="", WEEKDAY(B26,2)=6,VLOOKUP(B26,Jan!B:BA,48,FALSE)&gt;0),VLOOKUP(B26,Jan!B:BA,48,FALSE)*24,"")</f>
        <v/>
      </c>
      <c r="F26" s="16" t="str">
        <f>IF(AND(VLOOKUP(B26,Jan!B:BA,6,FALSE)="", WEEKDAY(B26,2)=7,VLOOKUP(B26,Jan!B:BA,49,FALSE)&gt;0),VLOOKUP(B26,Jan!B:BA,49,FALSE)*24,"")</f>
        <v/>
      </c>
      <c r="G26" s="16" t="str">
        <f>IF(AND(VLOOKUP(B26,Jan!B:BA,6,FALSE)="",VLOOKUP(B26,Jan!B:BA,46,FALSE)&gt;0),VLOOKUP(B26,Jan!B:BA,46,FALSE)*24,"")</f>
        <v/>
      </c>
      <c r="H26" s="36" t="str">
        <f>IF(AND(VLOOKUP(B26,Jan!B:BA,6,FALSE)="",VLOOKUP(B26,Jan!B:BA,50,FALSE)&gt;0),VLOOKUP(B26,Jan!B:BA,50,FALSE)*24,"")</f>
        <v/>
      </c>
      <c r="I26" s="30" t="str">
        <f>IF(AND(NETWORKDAYS(B26,B26,Feiertage)=1,VLOOKUP(B26,Jan!B:BA,6,FALSE)="U"),"Urlaub","")</f>
        <v/>
      </c>
      <c r="J26" s="34" t="str">
        <f ca="1">IF(AND(VLOOKUP(B26,Jan!B:BA,6,FALSE)="",VLOOKUP(B26,Jan!B:BA,22,FALSE)&lt;0),"Absetzen von","")</f>
        <v/>
      </c>
      <c r="K26" s="263"/>
      <c r="M26" s="316" t="str">
        <f ca="1">IF(VLOOKUP(B26,Jan!B:BA,22,FALSE)&lt;&gt;0,VLOOKUP(B26,Jan!B:BA,22,FALSE),"")</f>
        <v/>
      </c>
      <c r="N26" s="327"/>
    </row>
    <row r="27" spans="2:14" x14ac:dyDescent="0.25">
      <c r="B27" s="245">
        <f>Jan!F21</f>
        <v>42017</v>
      </c>
      <c r="C27" s="35">
        <f t="shared" si="0"/>
        <v>42017</v>
      </c>
      <c r="D27" s="17" t="str">
        <f>IF(AND(VLOOKUP(B27,Jan!B:BA,8,FALSE)&gt;0,VLOOKUP(B27,Jan!B:BA,6,FALSE)=""), CONCATENATE(TEXT(VLOOKUP(B27,Jan!B:BA,7,FALSE),"hh:mm"), "-", TEXT(VLOOKUP(B27,Jan!B:BA,8,FALSE),"[hh]:mm")," Uhr ", IF(VLOOKUP(B27,Jan!B:BA,12,FALSE)&gt;0, CONCATENATE("und ",TEXT(VLOOKUP(B27,Jan!B:BA,12,FALSE),"hh:mm"), "-", TEXT(VLOOKUP(B27,Jan!B:BA,13,FALSE),"[hh]:mm")," Uhr "),"")), IF(VLOOKUP(B27,Jan!B:BA,6,FALSE)="","",VLOOKUP(VLOOKUP(B27,Jan!B:BA,6,FALSE),Legende_Code,2,FALSE)))</f>
        <v/>
      </c>
      <c r="E27" s="16" t="str">
        <f>IF(AND(VLOOKUP(B27,Jan!B:BA,6,FALSE)="", WEEKDAY(B27,2)=6,VLOOKUP(B27,Jan!B:BA,48,FALSE)&gt;0),VLOOKUP(B27,Jan!B:BA,48,FALSE)*24,"")</f>
        <v/>
      </c>
      <c r="F27" s="16" t="str">
        <f>IF(AND(VLOOKUP(B27,Jan!B:BA,6,FALSE)="", WEEKDAY(B27,2)=7,VLOOKUP(B27,Jan!B:BA,49,FALSE)&gt;0),VLOOKUP(B27,Jan!B:BA,49,FALSE)*24,"")</f>
        <v/>
      </c>
      <c r="G27" s="16" t="str">
        <f>IF(AND(VLOOKUP(B27,Jan!B:BA,6,FALSE)="",VLOOKUP(B27,Jan!B:BA,46,FALSE)&gt;0),VLOOKUP(B27,Jan!B:BA,46,FALSE)*24,"")</f>
        <v/>
      </c>
      <c r="H27" s="36" t="str">
        <f>IF(AND(VLOOKUP(B27,Jan!B:BA,6,FALSE)="",VLOOKUP(B27,Jan!B:BA,50,FALSE)&gt;0),VLOOKUP(B27,Jan!B:BA,50,FALSE)*24,"")</f>
        <v/>
      </c>
      <c r="I27" s="30" t="str">
        <f>IF(AND(NETWORKDAYS(B27,B27,Feiertage)=1,VLOOKUP(B27,Jan!B:BA,6,FALSE)="U"),"Urlaub","")</f>
        <v/>
      </c>
      <c r="J27" s="34" t="str">
        <f ca="1">IF(AND(VLOOKUP(B27,Jan!B:BA,6,FALSE)="",VLOOKUP(B27,Jan!B:BA,22,FALSE)&lt;0),"Absetzen von","")</f>
        <v/>
      </c>
      <c r="K27" s="265"/>
      <c r="M27" s="316" t="str">
        <f ca="1">IF(VLOOKUP(B27,Jan!B:BA,22,FALSE)&lt;&gt;0,VLOOKUP(B27,Jan!B:BA,22,FALSE),"")</f>
        <v/>
      </c>
      <c r="N27" s="327"/>
    </row>
    <row r="28" spans="2:14" x14ac:dyDescent="0.25">
      <c r="B28" s="245">
        <f>Jan!F22</f>
        <v>42018</v>
      </c>
      <c r="C28" s="35">
        <f t="shared" si="0"/>
        <v>42018</v>
      </c>
      <c r="D28" s="17" t="str">
        <f>IF(AND(VLOOKUP(B28,Jan!B:BA,8,FALSE)&gt;0,VLOOKUP(B28,Jan!B:BA,6,FALSE)=""), CONCATENATE(TEXT(VLOOKUP(B28,Jan!B:BA,7,FALSE),"hh:mm"), "-", TEXT(VLOOKUP(B28,Jan!B:BA,8,FALSE),"[hh]:mm")," Uhr ", IF(VLOOKUP(B28,Jan!B:BA,12,FALSE)&gt;0, CONCATENATE("und ",TEXT(VLOOKUP(B28,Jan!B:BA,12,FALSE),"hh:mm"), "-", TEXT(VLOOKUP(B28,Jan!B:BA,13,FALSE),"[hh]:mm")," Uhr "),"")), IF(VLOOKUP(B28,Jan!B:BA,6,FALSE)="","",VLOOKUP(VLOOKUP(B28,Jan!B:BA,6,FALSE),Legende_Code,2,FALSE)))</f>
        <v/>
      </c>
      <c r="E28" s="16" t="str">
        <f>IF(AND(VLOOKUP(B28,Jan!B:BA,6,FALSE)="", WEEKDAY(B28,2)=6,VLOOKUP(B28,Jan!B:BA,48,FALSE)&gt;0),VLOOKUP(B28,Jan!B:BA,48,FALSE)*24,"")</f>
        <v/>
      </c>
      <c r="F28" s="16" t="str">
        <f>IF(AND(VLOOKUP(B28,Jan!B:BA,6,FALSE)="", WEEKDAY(B28,2)=7,VLOOKUP(B28,Jan!B:BA,49,FALSE)&gt;0),VLOOKUP(B28,Jan!B:BA,49,FALSE)*24,"")</f>
        <v/>
      </c>
      <c r="G28" s="16" t="str">
        <f>IF(AND(VLOOKUP(B28,Jan!B:BA,6,FALSE)="",VLOOKUP(B28,Jan!B:BA,46,FALSE)&gt;0),VLOOKUP(B28,Jan!B:BA,46,FALSE)*24,"")</f>
        <v/>
      </c>
      <c r="H28" s="36" t="str">
        <f>IF(AND(VLOOKUP(B28,Jan!B:BA,6,FALSE)="",VLOOKUP(B28,Jan!B:BA,50,FALSE)&gt;0),VLOOKUP(B28,Jan!B:BA,50,FALSE)*24,"")</f>
        <v/>
      </c>
      <c r="I28" s="30" t="str">
        <f>IF(AND(NETWORKDAYS(B28,B28,Feiertage)=1,VLOOKUP(B28,Jan!B:BA,6,FALSE)="U"),"Urlaub","")</f>
        <v/>
      </c>
      <c r="J28" s="34" t="str">
        <f ca="1">IF(AND(VLOOKUP(B28,Jan!B:BA,6,FALSE)="",VLOOKUP(B28,Jan!B:BA,22,FALSE)&lt;0),"Absetzen von","")</f>
        <v/>
      </c>
      <c r="K28" s="263"/>
      <c r="M28" s="316" t="str">
        <f ca="1">IF(VLOOKUP(B28,Jan!B:BA,22,FALSE)&lt;&gt;0,VLOOKUP(B28,Jan!B:BA,22,FALSE),"")</f>
        <v/>
      </c>
      <c r="N28" s="327"/>
    </row>
    <row r="29" spans="2:14" x14ac:dyDescent="0.25">
      <c r="B29" s="245">
        <f>Jan!F23</f>
        <v>42019</v>
      </c>
      <c r="C29" s="35">
        <f t="shared" si="0"/>
        <v>42019</v>
      </c>
      <c r="D29" s="17" t="str">
        <f>IF(AND(VLOOKUP(B29,Jan!B:BA,8,FALSE)&gt;0,VLOOKUP(B29,Jan!B:BA,6,FALSE)=""), CONCATENATE(TEXT(VLOOKUP(B29,Jan!B:BA,7,FALSE),"hh:mm"), "-", TEXT(VLOOKUP(B29,Jan!B:BA,8,FALSE),"[hh]:mm")," Uhr ", IF(VLOOKUP(B29,Jan!B:BA,12,FALSE)&gt;0, CONCATENATE("und ",TEXT(VLOOKUP(B29,Jan!B:BA,12,FALSE),"hh:mm"), "-", TEXT(VLOOKUP(B29,Jan!B:BA,13,FALSE),"[hh]:mm")," Uhr "),"")), IF(VLOOKUP(B29,Jan!B:BA,6,FALSE)="","",VLOOKUP(VLOOKUP(B29,Jan!B:BA,6,FALSE),Legende_Code,2,FALSE)))</f>
        <v/>
      </c>
      <c r="E29" s="16" t="str">
        <f>IF(AND(VLOOKUP(B29,Jan!B:BA,6,FALSE)="", WEEKDAY(B29,2)=6,VLOOKUP(B29,Jan!B:BA,48,FALSE)&gt;0),VLOOKUP(B29,Jan!B:BA,48,FALSE)*24,"")</f>
        <v/>
      </c>
      <c r="F29" s="16" t="str">
        <f>IF(AND(VLOOKUP(B29,Jan!B:BA,6,FALSE)="", WEEKDAY(B29,2)=7,VLOOKUP(B29,Jan!B:BA,49,FALSE)&gt;0),VLOOKUP(B29,Jan!B:BA,49,FALSE)*24,"")</f>
        <v/>
      </c>
      <c r="G29" s="16" t="str">
        <f>IF(AND(VLOOKUP(B29,Jan!B:BA,6,FALSE)="",VLOOKUP(B29,Jan!B:BA,46,FALSE)&gt;0),VLOOKUP(B29,Jan!B:BA,46,FALSE)*24,"")</f>
        <v/>
      </c>
      <c r="H29" s="36" t="str">
        <f>IF(AND(VLOOKUP(B29,Jan!B:BA,6,FALSE)="",VLOOKUP(B29,Jan!B:BA,50,FALSE)&gt;0),VLOOKUP(B29,Jan!B:BA,50,FALSE)*24,"")</f>
        <v/>
      </c>
      <c r="I29" s="30" t="str">
        <f>IF(AND(NETWORKDAYS(B29,B29,Feiertage)=1,VLOOKUP(B29,Jan!B:BA,6,FALSE)="U"),"Urlaub","")</f>
        <v/>
      </c>
      <c r="J29" s="34" t="str">
        <f ca="1">IF(AND(VLOOKUP(B29,Jan!B:BA,6,FALSE)="",VLOOKUP(B29,Jan!B:BA,22,FALSE)&lt;0),"Absetzen von","")</f>
        <v/>
      </c>
      <c r="K29" s="265"/>
      <c r="M29" s="316" t="str">
        <f ca="1">IF(VLOOKUP(B29,Jan!B:BA,22,FALSE)&lt;&gt;0,VLOOKUP(B29,Jan!B:BA,22,FALSE),"")</f>
        <v/>
      </c>
      <c r="N29" s="327"/>
    </row>
    <row r="30" spans="2:14" x14ac:dyDescent="0.25">
      <c r="B30" s="245">
        <f>Jan!F24</f>
        <v>42020</v>
      </c>
      <c r="C30" s="35">
        <f t="shared" si="0"/>
        <v>42020</v>
      </c>
      <c r="D30" s="17" t="str">
        <f>IF(AND(VLOOKUP(B30,Jan!B:BA,8,FALSE)&gt;0,VLOOKUP(B30,Jan!B:BA,6,FALSE)=""), CONCATENATE(TEXT(VLOOKUP(B30,Jan!B:BA,7,FALSE),"hh:mm"), "-", TEXT(VLOOKUP(B30,Jan!B:BA,8,FALSE),"[hh]:mm")," Uhr ", IF(VLOOKUP(B30,Jan!B:BA,12,FALSE)&gt;0, CONCATENATE("und ",TEXT(VLOOKUP(B30,Jan!B:BA,12,FALSE),"hh:mm"), "-", TEXT(VLOOKUP(B30,Jan!B:BA,13,FALSE),"[hh]:mm")," Uhr "),"")), IF(VLOOKUP(B30,Jan!B:BA,6,FALSE)="","",VLOOKUP(VLOOKUP(B30,Jan!B:BA,6,FALSE),Legende_Code,2,FALSE)))</f>
        <v/>
      </c>
      <c r="E30" s="16" t="str">
        <f>IF(AND(VLOOKUP(B30,Jan!B:BA,6,FALSE)="", WEEKDAY(B30,2)=6,VLOOKUP(B30,Jan!B:BA,48,FALSE)&gt;0),VLOOKUP(B30,Jan!B:BA,48,FALSE)*24,"")</f>
        <v/>
      </c>
      <c r="F30" s="16" t="str">
        <f>IF(AND(VLOOKUP(B30,Jan!B:BA,6,FALSE)="", WEEKDAY(B30,2)=7,VLOOKUP(B30,Jan!B:BA,49,FALSE)&gt;0),VLOOKUP(B30,Jan!B:BA,49,FALSE)*24,"")</f>
        <v/>
      </c>
      <c r="G30" s="16" t="str">
        <f>IF(AND(VLOOKUP(B30,Jan!B:BA,6,FALSE)="",VLOOKUP(B30,Jan!B:BA,46,FALSE)&gt;0),VLOOKUP(B30,Jan!B:BA,46,FALSE)*24,"")</f>
        <v/>
      </c>
      <c r="H30" s="36" t="str">
        <f>IF(AND(VLOOKUP(B30,Jan!B:BA,6,FALSE)="",VLOOKUP(B30,Jan!B:BA,50,FALSE)&gt;0),VLOOKUP(B30,Jan!B:BA,50,FALSE)*24,"")</f>
        <v/>
      </c>
      <c r="I30" s="30" t="str">
        <f>IF(AND(NETWORKDAYS(B30,B30,Feiertage)=1,VLOOKUP(B30,Jan!B:BA,6,FALSE)="U"),"Urlaub","")</f>
        <v/>
      </c>
      <c r="J30" s="34" t="str">
        <f ca="1">IF(AND(VLOOKUP(B30,Jan!B:BA,6,FALSE)="",VLOOKUP(B30,Jan!B:BA,22,FALSE)&lt;0),"Absetzen von","")</f>
        <v/>
      </c>
      <c r="K30" s="263"/>
      <c r="M30" s="316" t="str">
        <f ca="1">IF(VLOOKUP(B30,Jan!B:BA,22,FALSE)&lt;&gt;0,VLOOKUP(B30,Jan!B:BA,22,FALSE),"")</f>
        <v/>
      </c>
      <c r="N30" s="327"/>
    </row>
    <row r="31" spans="2:14" x14ac:dyDescent="0.25">
      <c r="B31" s="245">
        <f>Jan!F25</f>
        <v>42021</v>
      </c>
      <c r="C31" s="35">
        <f t="shared" si="0"/>
        <v>42021</v>
      </c>
      <c r="D31" s="17" t="str">
        <f>IF(AND(VLOOKUP(B31,Jan!B:BA,8,FALSE)&gt;0,VLOOKUP(B31,Jan!B:BA,6,FALSE)=""), CONCATENATE(TEXT(VLOOKUP(B31,Jan!B:BA,7,FALSE),"hh:mm"), "-", TEXT(VLOOKUP(B31,Jan!B:BA,8,FALSE),"[hh]:mm")," Uhr ", IF(VLOOKUP(B31,Jan!B:BA,12,FALSE)&gt;0, CONCATENATE("und ",TEXT(VLOOKUP(B31,Jan!B:BA,12,FALSE),"hh:mm"), "-", TEXT(VLOOKUP(B31,Jan!B:BA,13,FALSE),"[hh]:mm")," Uhr "),"")), IF(VLOOKUP(B31,Jan!B:BA,6,FALSE)="","",VLOOKUP(VLOOKUP(B31,Jan!B:BA,6,FALSE),Legende_Code,2,FALSE)))</f>
        <v/>
      </c>
      <c r="E31" s="16" t="str">
        <f>IF(AND(VLOOKUP(B31,Jan!B:BA,6,FALSE)="", WEEKDAY(B31,2)=6,VLOOKUP(B31,Jan!B:BA,48,FALSE)&gt;0),VLOOKUP(B31,Jan!B:BA,48,FALSE)*24,"")</f>
        <v/>
      </c>
      <c r="F31" s="16" t="str">
        <f>IF(AND(VLOOKUP(B31,Jan!B:BA,6,FALSE)="", WEEKDAY(B31,2)=7,VLOOKUP(B31,Jan!B:BA,49,FALSE)&gt;0),VLOOKUP(B31,Jan!B:BA,49,FALSE)*24,"")</f>
        <v/>
      </c>
      <c r="G31" s="16" t="str">
        <f>IF(AND(VLOOKUP(B31,Jan!B:BA,6,FALSE)="",VLOOKUP(B31,Jan!B:BA,46,FALSE)&gt;0),VLOOKUP(B31,Jan!B:BA,46,FALSE)*24,"")</f>
        <v/>
      </c>
      <c r="H31" s="36" t="str">
        <f>IF(AND(VLOOKUP(B31,Jan!B:BA,6,FALSE)="",VLOOKUP(B31,Jan!B:BA,50,FALSE)&gt;0),VLOOKUP(B31,Jan!B:BA,50,FALSE)*24,"")</f>
        <v/>
      </c>
      <c r="I31" s="30" t="str">
        <f>IF(AND(NETWORKDAYS(B31,B31,Feiertage)=1,VLOOKUP(B31,Jan!B:BA,6,FALSE)="U"),"Urlaub","")</f>
        <v/>
      </c>
      <c r="J31" s="34" t="str">
        <f ca="1">IF(AND(VLOOKUP(B31,Jan!B:BA,6,FALSE)="",VLOOKUP(B31,Jan!B:BA,22,FALSE)&lt;0),"Absetzen von","")</f>
        <v/>
      </c>
      <c r="K31" s="265"/>
      <c r="M31" s="316" t="str">
        <f ca="1">IF(VLOOKUP(B31,Jan!B:BA,22,FALSE)&lt;&gt;0,VLOOKUP(B31,Jan!B:BA,22,FALSE),"")</f>
        <v/>
      </c>
      <c r="N31" s="327"/>
    </row>
    <row r="32" spans="2:14" x14ac:dyDescent="0.25">
      <c r="B32" s="245">
        <f>Jan!F26</f>
        <v>42022</v>
      </c>
      <c r="C32" s="35">
        <f t="shared" si="0"/>
        <v>42022</v>
      </c>
      <c r="D32" s="17" t="str">
        <f>IF(AND(VLOOKUP(B32,Jan!B:BA,8,FALSE)&gt;0,VLOOKUP(B32,Jan!B:BA,6,FALSE)=""), CONCATENATE(TEXT(VLOOKUP(B32,Jan!B:BA,7,FALSE),"hh:mm"), "-", TEXT(VLOOKUP(B32,Jan!B:BA,8,FALSE),"[hh]:mm")," Uhr ", IF(VLOOKUP(B32,Jan!B:BA,12,FALSE)&gt;0, CONCATENATE("und ",TEXT(VLOOKUP(B32,Jan!B:BA,12,FALSE),"hh:mm"), "-", TEXT(VLOOKUP(B32,Jan!B:BA,13,FALSE),"[hh]:mm")," Uhr "),"")), IF(VLOOKUP(B32,Jan!B:BA,6,FALSE)="","",VLOOKUP(VLOOKUP(B32,Jan!B:BA,6,FALSE),Legende_Code,2,FALSE)))</f>
        <v/>
      </c>
      <c r="E32" s="16" t="str">
        <f>IF(AND(VLOOKUP(B32,Jan!B:BA,6,FALSE)="", WEEKDAY(B32,2)=6,VLOOKUP(B32,Jan!B:BA,48,FALSE)&gt;0),VLOOKUP(B32,Jan!B:BA,48,FALSE)*24,"")</f>
        <v/>
      </c>
      <c r="F32" s="16" t="str">
        <f>IF(AND(VLOOKUP(B32,Jan!B:BA,6,FALSE)="", WEEKDAY(B32,2)=7,VLOOKUP(B32,Jan!B:BA,49,FALSE)&gt;0),VLOOKUP(B32,Jan!B:BA,49,FALSE)*24,"")</f>
        <v/>
      </c>
      <c r="G32" s="16" t="str">
        <f>IF(AND(VLOOKUP(B32,Jan!B:BA,6,FALSE)="",VLOOKUP(B32,Jan!B:BA,46,FALSE)&gt;0),VLOOKUP(B32,Jan!B:BA,46,FALSE)*24,"")</f>
        <v/>
      </c>
      <c r="H32" s="36" t="str">
        <f>IF(AND(VLOOKUP(B32,Jan!B:BA,6,FALSE)="",VLOOKUP(B32,Jan!B:BA,50,FALSE)&gt;0),VLOOKUP(B32,Jan!B:BA,50,FALSE)*24,"")</f>
        <v/>
      </c>
      <c r="I32" s="30" t="str">
        <f>IF(AND(NETWORKDAYS(B32,B32,Feiertage)=1,VLOOKUP(B32,Jan!B:BA,6,FALSE)="U"),"Urlaub","")</f>
        <v/>
      </c>
      <c r="J32" s="34" t="str">
        <f ca="1">IF(AND(VLOOKUP(B32,Jan!B:BA,6,FALSE)="",VLOOKUP(B32,Jan!B:BA,22,FALSE)&lt;0),"Absetzen von","")</f>
        <v/>
      </c>
      <c r="K32" s="263"/>
      <c r="M32" s="316" t="str">
        <f ca="1">IF(VLOOKUP(B32,Jan!B:BA,22,FALSE)&lt;&gt;0,VLOOKUP(B32,Jan!B:BA,22,FALSE),"")</f>
        <v/>
      </c>
      <c r="N32" s="327"/>
    </row>
    <row r="33" spans="2:14" x14ac:dyDescent="0.25">
      <c r="B33" s="245">
        <f>Jan!F27</f>
        <v>42023</v>
      </c>
      <c r="C33" s="35">
        <f t="shared" si="0"/>
        <v>42023</v>
      </c>
      <c r="D33" s="17" t="str">
        <f>IF(AND(VLOOKUP(B33,Jan!B:BA,8,FALSE)&gt;0,VLOOKUP(B33,Jan!B:BA,6,FALSE)=""), CONCATENATE(TEXT(VLOOKUP(B33,Jan!B:BA,7,FALSE),"hh:mm"), "-", TEXT(VLOOKUP(B33,Jan!B:BA,8,FALSE),"[hh]:mm")," Uhr ", IF(VLOOKUP(B33,Jan!B:BA,12,FALSE)&gt;0, CONCATENATE("und ",TEXT(VLOOKUP(B33,Jan!B:BA,12,FALSE),"hh:mm"), "-", TEXT(VLOOKUP(B33,Jan!B:BA,13,FALSE),"[hh]:mm")," Uhr "),"")), IF(VLOOKUP(B33,Jan!B:BA,6,FALSE)="","",VLOOKUP(VLOOKUP(B33,Jan!B:BA,6,FALSE),Legende_Code,2,FALSE)))</f>
        <v/>
      </c>
      <c r="E33" s="16" t="str">
        <f>IF(AND(VLOOKUP(B33,Jan!B:BA,6,FALSE)="", WEEKDAY(B33,2)=6,VLOOKUP(B33,Jan!B:BA,48,FALSE)&gt;0),VLOOKUP(B33,Jan!B:BA,48,FALSE)*24,"")</f>
        <v/>
      </c>
      <c r="F33" s="16" t="str">
        <f>IF(AND(VLOOKUP(B33,Jan!B:BA,6,FALSE)="", WEEKDAY(B33,2)=7,VLOOKUP(B33,Jan!B:BA,49,FALSE)&gt;0),VLOOKUP(B33,Jan!B:BA,49,FALSE)*24,"")</f>
        <v/>
      </c>
      <c r="G33" s="16" t="str">
        <f>IF(AND(VLOOKUP(B33,Jan!B:BA,6,FALSE)="",VLOOKUP(B33,Jan!B:BA,46,FALSE)&gt;0),VLOOKUP(B33,Jan!B:BA,46,FALSE)*24,"")</f>
        <v/>
      </c>
      <c r="H33" s="36" t="str">
        <f>IF(AND(VLOOKUP(B33,Jan!B:BA,6,FALSE)="",VLOOKUP(B33,Jan!B:BA,50,FALSE)&gt;0),VLOOKUP(B33,Jan!B:BA,50,FALSE)*24,"")</f>
        <v/>
      </c>
      <c r="I33" s="30" t="str">
        <f>IF(AND(NETWORKDAYS(B33,B33,Feiertage)=1,VLOOKUP(B33,Jan!B:BA,6,FALSE)="U"),"Urlaub","")</f>
        <v/>
      </c>
      <c r="J33" s="34" t="str">
        <f ca="1">IF(AND(VLOOKUP(B33,Jan!B:BA,6,FALSE)="",VLOOKUP(B33,Jan!B:BA,22,FALSE)&lt;0),"Absetzen von","")</f>
        <v/>
      </c>
      <c r="K33" s="265"/>
      <c r="M33" s="316" t="str">
        <f ca="1">IF(VLOOKUP(B33,Jan!B:BA,22,FALSE)&lt;&gt;0,VLOOKUP(B33,Jan!B:BA,22,FALSE),"")</f>
        <v/>
      </c>
      <c r="N33" s="327"/>
    </row>
    <row r="34" spans="2:14" x14ac:dyDescent="0.25">
      <c r="B34" s="245">
        <f>Jan!F28</f>
        <v>42024</v>
      </c>
      <c r="C34" s="35">
        <f t="shared" si="0"/>
        <v>42024</v>
      </c>
      <c r="D34" s="17" t="str">
        <f>IF(AND(VLOOKUP(B34,Jan!B:BA,8,FALSE)&gt;0,VLOOKUP(B34,Jan!B:BA,6,FALSE)=""), CONCATENATE(TEXT(VLOOKUP(B34,Jan!B:BA,7,FALSE),"hh:mm"), "-", TEXT(VLOOKUP(B34,Jan!B:BA,8,FALSE),"[hh]:mm")," Uhr ", IF(VLOOKUP(B34,Jan!B:BA,12,FALSE)&gt;0, CONCATENATE("und ",TEXT(VLOOKUP(B34,Jan!B:BA,12,FALSE),"hh:mm"), "-", TEXT(VLOOKUP(B34,Jan!B:BA,13,FALSE),"[hh]:mm")," Uhr "),"")), IF(VLOOKUP(B34,Jan!B:BA,6,FALSE)="","",VLOOKUP(VLOOKUP(B34,Jan!B:BA,6,FALSE),Legende_Code,2,FALSE)))</f>
        <v/>
      </c>
      <c r="E34" s="16" t="str">
        <f>IF(AND(VLOOKUP(B34,Jan!B:BA,6,FALSE)="", WEEKDAY(B34,2)=6,VLOOKUP(B34,Jan!B:BA,48,FALSE)&gt;0),VLOOKUP(B34,Jan!B:BA,48,FALSE)*24,"")</f>
        <v/>
      </c>
      <c r="F34" s="16" t="str">
        <f>IF(AND(VLOOKUP(B34,Jan!B:BA,6,FALSE)="", WEEKDAY(B34,2)=7,VLOOKUP(B34,Jan!B:BA,49,FALSE)&gt;0),VLOOKUP(B34,Jan!B:BA,49,FALSE)*24,"")</f>
        <v/>
      </c>
      <c r="G34" s="16" t="str">
        <f>IF(AND(VLOOKUP(B34,Jan!B:BA,6,FALSE)="",VLOOKUP(B34,Jan!B:BA,46,FALSE)&gt;0),VLOOKUP(B34,Jan!B:BA,46,FALSE)*24,"")</f>
        <v/>
      </c>
      <c r="H34" s="36" t="str">
        <f>IF(AND(VLOOKUP(B34,Jan!B:BA,6,FALSE)="",VLOOKUP(B34,Jan!B:BA,50,FALSE)&gt;0),VLOOKUP(B34,Jan!B:BA,50,FALSE)*24,"")</f>
        <v/>
      </c>
      <c r="I34" s="30" t="str">
        <f>IF(AND(NETWORKDAYS(B34,B34,Feiertage)=1,VLOOKUP(B34,Jan!B:BA,6,FALSE)="U"),"Urlaub","")</f>
        <v/>
      </c>
      <c r="J34" s="34" t="str">
        <f ca="1">IF(AND(VLOOKUP(B34,Jan!B:BA,6,FALSE)="",VLOOKUP(B34,Jan!B:BA,22,FALSE)&lt;0),"Absetzen von","")</f>
        <v/>
      </c>
      <c r="K34" s="263"/>
      <c r="M34" s="316" t="str">
        <f ca="1">IF(VLOOKUP(B34,Jan!B:BA,22,FALSE)&lt;&gt;0,VLOOKUP(B34,Jan!B:BA,22,FALSE),"")</f>
        <v/>
      </c>
      <c r="N34" s="327"/>
    </row>
    <row r="35" spans="2:14" x14ac:dyDescent="0.25">
      <c r="B35" s="245">
        <f>Jan!F29</f>
        <v>42025</v>
      </c>
      <c r="C35" s="35">
        <f t="shared" si="0"/>
        <v>42025</v>
      </c>
      <c r="D35" s="17" t="str">
        <f>IF(AND(VLOOKUP(B35,Jan!B:BA,8,FALSE)&gt;0,VLOOKUP(B35,Jan!B:BA,6,FALSE)=""), CONCATENATE(TEXT(VLOOKUP(B35,Jan!B:BA,7,FALSE),"hh:mm"), "-", TEXT(VLOOKUP(B35,Jan!B:BA,8,FALSE),"[hh]:mm")," Uhr ", IF(VLOOKUP(B35,Jan!B:BA,12,FALSE)&gt;0, CONCATENATE("und ",TEXT(VLOOKUP(B35,Jan!B:BA,12,FALSE),"hh:mm"), "-", TEXT(VLOOKUP(B35,Jan!B:BA,13,FALSE),"[hh]:mm")," Uhr "),"")), IF(VLOOKUP(B35,Jan!B:BA,6,FALSE)="","",VLOOKUP(VLOOKUP(B35,Jan!B:BA,6,FALSE),Legende_Code,2,FALSE)))</f>
        <v/>
      </c>
      <c r="E35" s="16" t="str">
        <f>IF(AND(VLOOKUP(B35,Jan!B:BA,6,FALSE)="", WEEKDAY(B35,2)=6,VLOOKUP(B35,Jan!B:BA,48,FALSE)&gt;0),VLOOKUP(B35,Jan!B:BA,48,FALSE)*24,"")</f>
        <v/>
      </c>
      <c r="F35" s="16" t="str">
        <f>IF(AND(VLOOKUP(B35,Jan!B:BA,6,FALSE)="", WEEKDAY(B35,2)=7,VLOOKUP(B35,Jan!B:BA,49,FALSE)&gt;0),VLOOKUP(B35,Jan!B:BA,49,FALSE)*24,"")</f>
        <v/>
      </c>
      <c r="G35" s="16" t="str">
        <f>IF(AND(VLOOKUP(B35,Jan!B:BA,6,FALSE)="",VLOOKUP(B35,Jan!B:BA,46,FALSE)&gt;0),VLOOKUP(B35,Jan!B:BA,46,FALSE)*24,"")</f>
        <v/>
      </c>
      <c r="H35" s="36" t="str">
        <f>IF(AND(VLOOKUP(B35,Jan!B:BA,6,FALSE)="",VLOOKUP(B35,Jan!B:BA,50,FALSE)&gt;0),VLOOKUP(B35,Jan!B:BA,50,FALSE)*24,"")</f>
        <v/>
      </c>
      <c r="I35" s="30" t="str">
        <f>IF(AND(NETWORKDAYS(B35,B35,Feiertage)=1,VLOOKUP(B35,Jan!B:BA,6,FALSE)="U"),"Urlaub","")</f>
        <v/>
      </c>
      <c r="J35" s="34" t="str">
        <f ca="1">IF(AND(VLOOKUP(B35,Jan!B:BA,6,FALSE)="",VLOOKUP(B35,Jan!B:BA,22,FALSE)&lt;0),"Absetzen von","")</f>
        <v/>
      </c>
      <c r="K35" s="265"/>
      <c r="M35" s="316" t="str">
        <f ca="1">IF(VLOOKUP(B35,Jan!B:BA,22,FALSE)&lt;&gt;0,VLOOKUP(B35,Jan!B:BA,22,FALSE),"")</f>
        <v/>
      </c>
      <c r="N35" s="327"/>
    </row>
    <row r="36" spans="2:14" x14ac:dyDescent="0.25">
      <c r="B36" s="245">
        <f>Jan!F30</f>
        <v>42026</v>
      </c>
      <c r="C36" s="35">
        <f t="shared" si="0"/>
        <v>42026</v>
      </c>
      <c r="D36" s="17" t="str">
        <f>IF(AND(VLOOKUP(B36,Jan!B:BA,8,FALSE)&gt;0,VLOOKUP(B36,Jan!B:BA,6,FALSE)=""), CONCATENATE(TEXT(VLOOKUP(B36,Jan!B:BA,7,FALSE),"hh:mm"), "-", TEXT(VLOOKUP(B36,Jan!B:BA,8,FALSE),"[hh]:mm")," Uhr ", IF(VLOOKUP(B36,Jan!B:BA,12,FALSE)&gt;0, CONCATENATE("und ",TEXT(VLOOKUP(B36,Jan!B:BA,12,FALSE),"hh:mm"), "-", TEXT(VLOOKUP(B36,Jan!B:BA,13,FALSE),"[hh]:mm")," Uhr "),"")), IF(VLOOKUP(B36,Jan!B:BA,6,FALSE)="","",VLOOKUP(VLOOKUP(B36,Jan!B:BA,6,FALSE),Legende_Code,2,FALSE)))</f>
        <v/>
      </c>
      <c r="E36" s="16" t="str">
        <f>IF(AND(VLOOKUP(B36,Jan!B:BA,6,FALSE)="", WEEKDAY(B36,2)=6,VLOOKUP(B36,Jan!B:BA,48,FALSE)&gt;0),VLOOKUP(B36,Jan!B:BA,48,FALSE)*24,"")</f>
        <v/>
      </c>
      <c r="F36" s="16" t="str">
        <f>IF(AND(VLOOKUP(B36,Jan!B:BA,6,FALSE)="", WEEKDAY(B36,2)=7,VLOOKUP(B36,Jan!B:BA,49,FALSE)&gt;0),VLOOKUP(B36,Jan!B:BA,49,FALSE)*24,"")</f>
        <v/>
      </c>
      <c r="G36" s="16" t="str">
        <f>IF(AND(VLOOKUP(B36,Jan!B:BA,6,FALSE)="",VLOOKUP(B36,Jan!B:BA,46,FALSE)&gt;0),VLOOKUP(B36,Jan!B:BA,46,FALSE)*24,"")</f>
        <v/>
      </c>
      <c r="H36" s="36" t="str">
        <f>IF(AND(VLOOKUP(B36,Jan!B:BA,6,FALSE)="",VLOOKUP(B36,Jan!B:BA,50,FALSE)&gt;0),VLOOKUP(B36,Jan!B:BA,50,FALSE)*24,"")</f>
        <v/>
      </c>
      <c r="I36" s="30" t="str">
        <f>IF(AND(NETWORKDAYS(B36,B36,Feiertage)=1,VLOOKUP(B36,Jan!B:BA,6,FALSE)="U"),"Urlaub","")</f>
        <v/>
      </c>
      <c r="J36" s="34" t="str">
        <f ca="1">IF(AND(VLOOKUP(B36,Jan!B:BA,6,FALSE)="",VLOOKUP(B36,Jan!B:BA,22,FALSE)&lt;0),"Absetzen von","")</f>
        <v/>
      </c>
      <c r="K36" s="263"/>
      <c r="M36" s="316" t="str">
        <f ca="1">IF(VLOOKUP(B36,Jan!B:BA,22,FALSE)&lt;&gt;0,VLOOKUP(B36,Jan!B:BA,22,FALSE),"")</f>
        <v/>
      </c>
      <c r="N36" s="327"/>
    </row>
    <row r="37" spans="2:14" x14ac:dyDescent="0.25">
      <c r="B37" s="245">
        <f>Jan!F31</f>
        <v>42027</v>
      </c>
      <c r="C37" s="35">
        <f t="shared" si="0"/>
        <v>42027</v>
      </c>
      <c r="D37" s="17" t="str">
        <f>IF(AND(VLOOKUP(B37,Jan!B:BA,8,FALSE)&gt;0,VLOOKUP(B37,Jan!B:BA,6,FALSE)=""), CONCATENATE(TEXT(VLOOKUP(B37,Jan!B:BA,7,FALSE),"hh:mm"), "-", TEXT(VLOOKUP(B37,Jan!B:BA,8,FALSE),"[hh]:mm")," Uhr ", IF(VLOOKUP(B37,Jan!B:BA,12,FALSE)&gt;0, CONCATENATE("und ",TEXT(VLOOKUP(B37,Jan!B:BA,12,FALSE),"hh:mm"), "-", TEXT(VLOOKUP(B37,Jan!B:BA,13,FALSE),"[hh]:mm")," Uhr "),"")), IF(VLOOKUP(B37,Jan!B:BA,6,FALSE)="","",VLOOKUP(VLOOKUP(B37,Jan!B:BA,6,FALSE),Legende_Code,2,FALSE)))</f>
        <v/>
      </c>
      <c r="E37" s="16" t="str">
        <f>IF(AND(VLOOKUP(B37,Jan!B:BA,6,FALSE)="", WEEKDAY(B37,2)=6,VLOOKUP(B37,Jan!B:BA,48,FALSE)&gt;0),VLOOKUP(B37,Jan!B:BA,48,FALSE)*24,"")</f>
        <v/>
      </c>
      <c r="F37" s="16" t="str">
        <f>IF(AND(VLOOKUP(B37,Jan!B:BA,6,FALSE)="", WEEKDAY(B37,2)=7,VLOOKUP(B37,Jan!B:BA,49,FALSE)&gt;0),VLOOKUP(B37,Jan!B:BA,49,FALSE)*24,"")</f>
        <v/>
      </c>
      <c r="G37" s="16" t="str">
        <f>IF(AND(VLOOKUP(B37,Jan!B:BA,6,FALSE)="",VLOOKUP(B37,Jan!B:BA,46,FALSE)&gt;0),VLOOKUP(B37,Jan!B:BA,46,FALSE)*24,"")</f>
        <v/>
      </c>
      <c r="H37" s="36" t="str">
        <f>IF(AND(VLOOKUP(B37,Jan!B:BA,6,FALSE)="",VLOOKUP(B37,Jan!B:BA,50,FALSE)&gt;0),VLOOKUP(B37,Jan!B:BA,50,FALSE)*24,"")</f>
        <v/>
      </c>
      <c r="I37" s="30" t="str">
        <f>IF(AND(NETWORKDAYS(B37,B37,Feiertage)=1,VLOOKUP(B37,Jan!B:BA,6,FALSE)="U"),"Urlaub","")</f>
        <v/>
      </c>
      <c r="J37" s="34" t="str">
        <f ca="1">IF(AND(VLOOKUP(B37,Jan!B:BA,6,FALSE)="",VLOOKUP(B37,Jan!B:BA,22,FALSE)&lt;0),"Absetzen von","")</f>
        <v/>
      </c>
      <c r="K37" s="265"/>
      <c r="M37" s="316" t="str">
        <f ca="1">IF(VLOOKUP(B37,Jan!B:BA,22,FALSE)&lt;&gt;0,VLOOKUP(B37,Jan!B:BA,22,FALSE),"")</f>
        <v/>
      </c>
      <c r="N37" s="327"/>
    </row>
    <row r="38" spans="2:14" x14ac:dyDescent="0.25">
      <c r="B38" s="245">
        <f>Jan!F32</f>
        <v>42028</v>
      </c>
      <c r="C38" s="35">
        <f t="shared" si="0"/>
        <v>42028</v>
      </c>
      <c r="D38" s="17" t="str">
        <f>IF(AND(VLOOKUP(B38,Jan!B:BA,8,FALSE)&gt;0,VLOOKUP(B38,Jan!B:BA,6,FALSE)=""), CONCATENATE(TEXT(VLOOKUP(B38,Jan!B:BA,7,FALSE),"hh:mm"), "-", TEXT(VLOOKUP(B38,Jan!B:BA,8,FALSE),"[hh]:mm")," Uhr ", IF(VLOOKUP(B38,Jan!B:BA,12,FALSE)&gt;0, CONCATENATE("und ",TEXT(VLOOKUP(B38,Jan!B:BA,12,FALSE),"hh:mm"), "-", TEXT(VLOOKUP(B38,Jan!B:BA,13,FALSE),"[hh]:mm")," Uhr "),"")), IF(VLOOKUP(B38,Jan!B:BA,6,FALSE)="","",VLOOKUP(VLOOKUP(B38,Jan!B:BA,6,FALSE),Legende_Code,2,FALSE)))</f>
        <v/>
      </c>
      <c r="E38" s="16" t="str">
        <f>IF(AND(VLOOKUP(B38,Jan!B:BA,6,FALSE)="", WEEKDAY(B38,2)=6,VLOOKUP(B38,Jan!B:BA,48,FALSE)&gt;0),VLOOKUP(B38,Jan!B:BA,48,FALSE)*24,"")</f>
        <v/>
      </c>
      <c r="F38" s="16" t="str">
        <f>IF(AND(VLOOKUP(B38,Jan!B:BA,6,FALSE)="", WEEKDAY(B38,2)=7,VLOOKUP(B38,Jan!B:BA,49,FALSE)&gt;0),VLOOKUP(B38,Jan!B:BA,49,FALSE)*24,"")</f>
        <v/>
      </c>
      <c r="G38" s="16" t="str">
        <f>IF(AND(VLOOKUP(B38,Jan!B:BA,6,FALSE)="",VLOOKUP(B38,Jan!B:BA,46,FALSE)&gt;0),VLOOKUP(B38,Jan!B:BA,46,FALSE)*24,"")</f>
        <v/>
      </c>
      <c r="H38" s="36" t="str">
        <f>IF(AND(VLOOKUP(B38,Jan!B:BA,6,FALSE)="",VLOOKUP(B38,Jan!B:BA,50,FALSE)&gt;0),VLOOKUP(B38,Jan!B:BA,50,FALSE)*24,"")</f>
        <v/>
      </c>
      <c r="I38" s="30" t="str">
        <f>IF(AND(NETWORKDAYS(B38,B38,Feiertage)=1,VLOOKUP(B38,Jan!B:BA,6,FALSE)="U"),"Urlaub","")</f>
        <v/>
      </c>
      <c r="J38" s="34" t="str">
        <f ca="1">IF(AND(VLOOKUP(B38,Jan!B:BA,6,FALSE)="",VLOOKUP(B38,Jan!B:BA,22,FALSE)&lt;0),"Absetzen von","")</f>
        <v/>
      </c>
      <c r="K38" s="263"/>
      <c r="M38" s="316" t="str">
        <f ca="1">IF(VLOOKUP(B38,Jan!B:BA,22,FALSE)&lt;&gt;0,VLOOKUP(B38,Jan!B:BA,22,FALSE),"")</f>
        <v/>
      </c>
      <c r="N38" s="327"/>
    </row>
    <row r="39" spans="2:14" x14ac:dyDescent="0.25">
      <c r="B39" s="245">
        <f>Jan!F33</f>
        <v>42029</v>
      </c>
      <c r="C39" s="35">
        <f t="shared" si="0"/>
        <v>42029</v>
      </c>
      <c r="D39" s="17" t="str">
        <f>IF(AND(VLOOKUP(B39,Jan!B:BA,8,FALSE)&gt;0,VLOOKUP(B39,Jan!B:BA,6,FALSE)=""), CONCATENATE(TEXT(VLOOKUP(B39,Jan!B:BA,7,FALSE),"hh:mm"), "-", TEXT(VLOOKUP(B39,Jan!B:BA,8,FALSE),"[hh]:mm")," Uhr ", IF(VLOOKUP(B39,Jan!B:BA,12,FALSE)&gt;0, CONCATENATE("und ",TEXT(VLOOKUP(B39,Jan!B:BA,12,FALSE),"hh:mm"), "-", TEXT(VLOOKUP(B39,Jan!B:BA,13,FALSE),"[hh]:mm")," Uhr "),"")), IF(VLOOKUP(B39,Jan!B:BA,6,FALSE)="","",VLOOKUP(VLOOKUP(B39,Jan!B:BA,6,FALSE),Legende_Code,2,FALSE)))</f>
        <v/>
      </c>
      <c r="E39" s="16" t="str">
        <f>IF(AND(VLOOKUP(B39,Jan!B:BA,6,FALSE)="", WEEKDAY(B39,2)=6,VLOOKUP(B39,Jan!B:BA,48,FALSE)&gt;0),VLOOKUP(B39,Jan!B:BA,48,FALSE)*24,"")</f>
        <v/>
      </c>
      <c r="F39" s="16" t="str">
        <f>IF(AND(VLOOKUP(B39,Jan!B:BA,6,FALSE)="", WEEKDAY(B39,2)=7,VLOOKUP(B39,Jan!B:BA,49,FALSE)&gt;0),VLOOKUP(B39,Jan!B:BA,49,FALSE)*24,"")</f>
        <v/>
      </c>
      <c r="G39" s="16" t="str">
        <f>IF(AND(VLOOKUP(B39,Jan!B:BA,6,FALSE)="",VLOOKUP(B39,Jan!B:BA,46,FALSE)&gt;0),VLOOKUP(B39,Jan!B:BA,46,FALSE)*24,"")</f>
        <v/>
      </c>
      <c r="H39" s="36" t="str">
        <f>IF(AND(VLOOKUP(B39,Jan!B:BA,6,FALSE)="",VLOOKUP(B39,Jan!B:BA,50,FALSE)&gt;0),VLOOKUP(B39,Jan!B:BA,50,FALSE)*24,"")</f>
        <v/>
      </c>
      <c r="I39" s="30" t="str">
        <f>IF(AND(NETWORKDAYS(B39,B39,Feiertage)=1,VLOOKUP(B39,Jan!B:BA,6,FALSE)="U"),"Urlaub","")</f>
        <v/>
      </c>
      <c r="J39" s="34" t="str">
        <f ca="1">IF(AND(VLOOKUP(B39,Jan!B:BA,6,FALSE)="",VLOOKUP(B39,Jan!B:BA,22,FALSE)&lt;0),"Absetzen von","")</f>
        <v/>
      </c>
      <c r="K39" s="265"/>
      <c r="M39" s="316" t="str">
        <f ca="1">IF(VLOOKUP(B39,Jan!B:BA,22,FALSE)&lt;&gt;0,VLOOKUP(B39,Jan!B:BA,22,FALSE),"")</f>
        <v/>
      </c>
      <c r="N39" s="327"/>
    </row>
    <row r="40" spans="2:14" x14ac:dyDescent="0.25">
      <c r="B40" s="245">
        <f>Jan!F34</f>
        <v>42030</v>
      </c>
      <c r="C40" s="35">
        <f t="shared" si="0"/>
        <v>42030</v>
      </c>
      <c r="D40" s="17" t="str">
        <f>IF(AND(VLOOKUP(B40,Jan!B:BA,8,FALSE)&gt;0,VLOOKUP(B40,Jan!B:BA,6,FALSE)=""), CONCATENATE(TEXT(VLOOKUP(B40,Jan!B:BA,7,FALSE),"hh:mm"), "-", TEXT(VLOOKUP(B40,Jan!B:BA,8,FALSE),"[hh]:mm")," Uhr ", IF(VLOOKUP(B40,Jan!B:BA,12,FALSE)&gt;0, CONCATENATE("und ",TEXT(VLOOKUP(B40,Jan!B:BA,12,FALSE),"hh:mm"), "-", TEXT(VLOOKUP(B40,Jan!B:BA,13,FALSE),"[hh]:mm")," Uhr "),"")), IF(VLOOKUP(B40,Jan!B:BA,6,FALSE)="","",VLOOKUP(VLOOKUP(B40,Jan!B:BA,6,FALSE),Legende_Code,2,FALSE)))</f>
        <v/>
      </c>
      <c r="E40" s="16" t="str">
        <f>IF(AND(VLOOKUP(B40,Jan!B:BA,6,FALSE)="", WEEKDAY(B40,2)=6,VLOOKUP(B40,Jan!B:BA,48,FALSE)&gt;0),VLOOKUP(B40,Jan!B:BA,48,FALSE)*24,"")</f>
        <v/>
      </c>
      <c r="F40" s="16" t="str">
        <f>IF(AND(VLOOKUP(B40,Jan!B:BA,6,FALSE)="", WEEKDAY(B40,2)=7,VLOOKUP(B40,Jan!B:BA,49,FALSE)&gt;0),VLOOKUP(B40,Jan!B:BA,49,FALSE)*24,"")</f>
        <v/>
      </c>
      <c r="G40" s="16" t="str">
        <f>IF(AND(VLOOKUP(B40,Jan!B:BA,6,FALSE)="",VLOOKUP(B40,Jan!B:BA,46,FALSE)&gt;0),VLOOKUP(B40,Jan!B:BA,46,FALSE)*24,"")</f>
        <v/>
      </c>
      <c r="H40" s="36" t="str">
        <f>IF(AND(VLOOKUP(B40,Jan!B:BA,6,FALSE)="",VLOOKUP(B40,Jan!B:BA,50,FALSE)&gt;0),VLOOKUP(B40,Jan!B:BA,50,FALSE)*24,"")</f>
        <v/>
      </c>
      <c r="I40" s="30" t="str">
        <f>IF(AND(NETWORKDAYS(B40,B40,Feiertage)=1,VLOOKUP(B40,Jan!B:BA,6,FALSE)="U"),"Urlaub","")</f>
        <v/>
      </c>
      <c r="J40" s="34" t="str">
        <f ca="1">IF(AND(VLOOKUP(B40,Jan!B:BA,6,FALSE)="",VLOOKUP(B40,Jan!B:BA,22,FALSE)&lt;0),"Absetzen von","")</f>
        <v/>
      </c>
      <c r="K40" s="263"/>
      <c r="M40" s="316" t="str">
        <f ca="1">IF(VLOOKUP(B40,Jan!B:BA,22,FALSE)&lt;&gt;0,VLOOKUP(B40,Jan!B:BA,22,FALSE),"")</f>
        <v/>
      </c>
      <c r="N40" s="327"/>
    </row>
    <row r="41" spans="2:14" x14ac:dyDescent="0.25">
      <c r="B41" s="245">
        <f>Jan!F35</f>
        <v>42031</v>
      </c>
      <c r="C41" s="35">
        <f t="shared" si="0"/>
        <v>42031</v>
      </c>
      <c r="D41" s="17" t="str">
        <f>IF(AND(VLOOKUP(B41,Jan!B:BA,8,FALSE)&gt;0,VLOOKUP(B41,Jan!B:BA,6,FALSE)=""), CONCATENATE(TEXT(VLOOKUP(B41,Jan!B:BA,7,FALSE),"hh:mm"), "-", TEXT(VLOOKUP(B41,Jan!B:BA,8,FALSE),"[hh]:mm")," Uhr ", IF(VLOOKUP(B41,Jan!B:BA,12,FALSE)&gt;0, CONCATENATE("und ",TEXT(VLOOKUP(B41,Jan!B:BA,12,FALSE),"hh:mm"), "-", TEXT(VLOOKUP(B41,Jan!B:BA,13,FALSE),"[hh]:mm")," Uhr "),"")), IF(VLOOKUP(B41,Jan!B:BA,6,FALSE)="","",VLOOKUP(VLOOKUP(B41,Jan!B:BA,6,FALSE),Legende_Code,2,FALSE)))</f>
        <v/>
      </c>
      <c r="E41" s="16" t="str">
        <f>IF(AND(VLOOKUP(B41,Jan!B:BA,6,FALSE)="", WEEKDAY(B41,2)=6,VLOOKUP(B41,Jan!B:BA,48,FALSE)&gt;0),VLOOKUP(B41,Jan!B:BA,48,FALSE)*24,"")</f>
        <v/>
      </c>
      <c r="F41" s="16" t="str">
        <f>IF(AND(VLOOKUP(B41,Jan!B:BA,6,FALSE)="", WEEKDAY(B41,2)=7,VLOOKUP(B41,Jan!B:BA,49,FALSE)&gt;0),VLOOKUP(B41,Jan!B:BA,49,FALSE)*24,"")</f>
        <v/>
      </c>
      <c r="G41" s="16" t="str">
        <f>IF(AND(VLOOKUP(B41,Jan!B:BA,6,FALSE)="",VLOOKUP(B41,Jan!B:BA,46,FALSE)&gt;0),VLOOKUP(B41,Jan!B:BA,46,FALSE)*24,"")</f>
        <v/>
      </c>
      <c r="H41" s="36" t="str">
        <f>IF(AND(VLOOKUP(B41,Jan!B:BA,6,FALSE)="",VLOOKUP(B41,Jan!B:BA,50,FALSE)&gt;0),VLOOKUP(B41,Jan!B:BA,50,FALSE)*24,"")</f>
        <v/>
      </c>
      <c r="I41" s="30" t="str">
        <f>IF(AND(NETWORKDAYS(B41,B41,Feiertage)=1,VLOOKUP(B41,Jan!B:BA,6,FALSE)="U"),"Urlaub","")</f>
        <v/>
      </c>
      <c r="J41" s="34" t="str">
        <f ca="1">IF(AND(VLOOKUP(B41,Jan!B:BA,6,FALSE)="",VLOOKUP(B41,Jan!B:BA,22,FALSE)&lt;0),"Absetzen von","")</f>
        <v/>
      </c>
      <c r="K41" s="265"/>
      <c r="M41" s="316" t="str">
        <f ca="1">IF(VLOOKUP(B41,Jan!B:BA,22,FALSE)&lt;&gt;0,VLOOKUP(B41,Jan!B:BA,22,FALSE),"")</f>
        <v/>
      </c>
      <c r="N41" s="327"/>
    </row>
    <row r="42" spans="2:14" x14ac:dyDescent="0.25">
      <c r="B42" s="245">
        <f>Jan!F36</f>
        <v>42032</v>
      </c>
      <c r="C42" s="35">
        <f t="shared" si="0"/>
        <v>42032</v>
      </c>
      <c r="D42" s="17" t="str">
        <f>IF(AND(VLOOKUP(B42,Jan!B:BA,8,FALSE)&gt;0,VLOOKUP(B42,Jan!B:BA,6,FALSE)=""), CONCATENATE(TEXT(VLOOKUP(B42,Jan!B:BA,7,FALSE),"hh:mm"), "-", TEXT(VLOOKUP(B42,Jan!B:BA,8,FALSE),"[hh]:mm")," Uhr ", IF(VLOOKUP(B42,Jan!B:BA,12,FALSE)&gt;0, CONCATENATE("und ",TEXT(VLOOKUP(B42,Jan!B:BA,12,FALSE),"hh:mm"), "-", TEXT(VLOOKUP(B42,Jan!B:BA,13,FALSE),"[hh]:mm")," Uhr "),"")), IF(VLOOKUP(B42,Jan!B:BA,6,FALSE)="","",VLOOKUP(VLOOKUP(B42,Jan!B:BA,6,FALSE),Legende_Code,2,FALSE)))</f>
        <v/>
      </c>
      <c r="E42" s="16" t="str">
        <f>IF(AND(VLOOKUP(B42,Jan!B:BA,6,FALSE)="", WEEKDAY(B42,2)=6,VLOOKUP(B42,Jan!B:BA,48,FALSE)&gt;0),VLOOKUP(B42,Jan!B:BA,48,FALSE)*24,"")</f>
        <v/>
      </c>
      <c r="F42" s="16" t="str">
        <f>IF(AND(VLOOKUP(B42,Jan!B:BA,6,FALSE)="", WEEKDAY(B42,2)=7,VLOOKUP(B42,Jan!B:BA,49,FALSE)&gt;0),VLOOKUP(B42,Jan!B:BA,49,FALSE)*24,"")</f>
        <v/>
      </c>
      <c r="G42" s="16" t="str">
        <f>IF(AND(VLOOKUP(B42,Jan!B:BA,6,FALSE)="",VLOOKUP(B42,Jan!B:BA,46,FALSE)&gt;0),VLOOKUP(B42,Jan!B:BA,46,FALSE)*24,"")</f>
        <v/>
      </c>
      <c r="H42" s="36" t="str">
        <f>IF(AND(VLOOKUP(B42,Jan!B:BA,6,FALSE)="",VLOOKUP(B42,Jan!B:BA,50,FALSE)&gt;0),VLOOKUP(B42,Jan!B:BA,50,FALSE)*24,"")</f>
        <v/>
      </c>
      <c r="I42" s="30" t="str">
        <f>IF(AND(NETWORKDAYS(B42,B42,Feiertage)=1,VLOOKUP(B42,Jan!B:BA,6,FALSE)="U"),"Urlaub","")</f>
        <v/>
      </c>
      <c r="J42" s="34" t="str">
        <f ca="1">IF(AND(VLOOKUP(B42,Jan!B:BA,6,FALSE)="",VLOOKUP(B42,Jan!B:BA,22,FALSE)&lt;0),"Absetzen von","")</f>
        <v/>
      </c>
      <c r="K42" s="263"/>
      <c r="M42" s="316" t="str">
        <f ca="1">IF(VLOOKUP(B42,Jan!B:BA,22,FALSE)&lt;&gt;0,VLOOKUP(B42,Jan!B:BA,22,FALSE),"")</f>
        <v/>
      </c>
      <c r="N42" s="327"/>
    </row>
    <row r="43" spans="2:14" x14ac:dyDescent="0.25">
      <c r="B43" s="245">
        <f>Jan!F37</f>
        <v>42033</v>
      </c>
      <c r="C43" s="35">
        <f t="shared" si="0"/>
        <v>42033</v>
      </c>
      <c r="D43" s="17" t="str">
        <f>IF(AND(VLOOKUP(B43,Jan!B:BA,8,FALSE)&gt;0,VLOOKUP(B43,Jan!B:BA,6,FALSE)=""), CONCATENATE(TEXT(VLOOKUP(B43,Jan!B:BA,7,FALSE),"hh:mm"), "-", TEXT(VLOOKUP(B43,Jan!B:BA,8,FALSE),"[hh]:mm")," Uhr ", IF(VLOOKUP(B43,Jan!B:BA,12,FALSE)&gt;0, CONCATENATE("und ",TEXT(VLOOKUP(B43,Jan!B:BA,12,FALSE),"hh:mm"), "-", TEXT(VLOOKUP(B43,Jan!B:BA,13,FALSE),"[hh]:mm")," Uhr "),"")), IF(VLOOKUP(B43,Jan!B:BA,6,FALSE)="","",VLOOKUP(VLOOKUP(B43,Jan!B:BA,6,FALSE),Legende_Code,2,FALSE)))</f>
        <v/>
      </c>
      <c r="E43" s="16" t="str">
        <f>IF(AND(VLOOKUP(B43,Jan!B:BA,6,FALSE)="", WEEKDAY(B43,2)=6,VLOOKUP(B43,Jan!B:BA,48,FALSE)&gt;0),VLOOKUP(B43,Jan!B:BA,48,FALSE)*24,"")</f>
        <v/>
      </c>
      <c r="F43" s="16" t="str">
        <f>IF(AND(VLOOKUP(B43,Jan!B:BA,6,FALSE)="", WEEKDAY(B43,2)=7,VLOOKUP(B43,Jan!B:BA,49,FALSE)&gt;0),VLOOKUP(B43,Jan!B:BA,49,FALSE)*24,"")</f>
        <v/>
      </c>
      <c r="G43" s="16" t="str">
        <f>IF(AND(VLOOKUP(B43,Jan!B:BA,6,FALSE)="",VLOOKUP(B43,Jan!B:BA,46,FALSE)&gt;0),VLOOKUP(B43,Jan!B:BA,46,FALSE)*24,"")</f>
        <v/>
      </c>
      <c r="H43" s="36" t="str">
        <f>IF(AND(VLOOKUP(B43,Jan!B:BA,6,FALSE)="",VLOOKUP(B43,Jan!B:BA,50,FALSE)&gt;0),VLOOKUP(B43,Jan!B:BA,50,FALSE)*24,"")</f>
        <v/>
      </c>
      <c r="I43" s="30" t="str">
        <f>IF(AND(NETWORKDAYS(B43,B43,Feiertage)=1,VLOOKUP(B43,Jan!B:BA,6,FALSE)="U"),"Urlaub","")</f>
        <v/>
      </c>
      <c r="J43" s="34" t="str">
        <f ca="1">IF(AND(VLOOKUP(B43,Jan!B:BA,6,FALSE)="",VLOOKUP(B43,Jan!B:BA,22,FALSE)&lt;0),"Absetzen von","")</f>
        <v/>
      </c>
      <c r="K43" s="265"/>
      <c r="M43" s="316" t="str">
        <f ca="1">IF(VLOOKUP(B43,Jan!B:BA,22,FALSE)&lt;&gt;0,VLOOKUP(B43,Jan!B:BA,22,FALSE),"")</f>
        <v/>
      </c>
      <c r="N43" s="327"/>
    </row>
    <row r="44" spans="2:14" ht="15.75" thickBot="1" x14ac:dyDescent="0.3">
      <c r="B44" s="245">
        <f>Jan!F38</f>
        <v>42034</v>
      </c>
      <c r="C44" s="35">
        <f t="shared" si="0"/>
        <v>42034</v>
      </c>
      <c r="D44" s="17" t="str">
        <f>IF(AND(VLOOKUP(B44,Jan!B:BA,8,FALSE)&gt;0,VLOOKUP(B44,Jan!B:BA,6,FALSE)=""), CONCATENATE(TEXT(VLOOKUP(B44,Jan!B:BA,7,FALSE),"hh:mm"), "-", TEXT(VLOOKUP(B44,Jan!B:BA,8,FALSE),"[hh]:mm")," Uhr ", IF(VLOOKUP(B44,Jan!B:BA,12,FALSE)&gt;0, CONCATENATE("und ",TEXT(VLOOKUP(B44,Jan!B:BA,12,FALSE),"hh:mm"), "-", TEXT(VLOOKUP(B44,Jan!B:BA,13,FALSE),"[hh]:mm")," Uhr "),"")), IF(VLOOKUP(B44,Jan!B:BA,6,FALSE)="","",VLOOKUP(VLOOKUP(B44,Jan!B:BA,6,FALSE),Legende_Code,2,FALSE)))</f>
        <v/>
      </c>
      <c r="E44" s="16" t="str">
        <f>IF(AND(VLOOKUP(B44,Jan!B:BA,6,FALSE)="", WEEKDAY(B44,2)=6,VLOOKUP(B44,Jan!B:BA,48,FALSE)&gt;0),VLOOKUP(B44,Jan!B:BA,48,FALSE)*24,"")</f>
        <v/>
      </c>
      <c r="F44" s="16" t="str">
        <f>IF(AND(VLOOKUP(B44,Jan!B:BA,6,FALSE)="", WEEKDAY(B44,2)=7,VLOOKUP(B44,Jan!B:BA,49,FALSE)&gt;0),VLOOKUP(B44,Jan!B:BA,49,FALSE)*24,"")</f>
        <v/>
      </c>
      <c r="G44" s="16" t="str">
        <f>IF(AND(VLOOKUP(B44,Jan!B:BA,6,FALSE)="",VLOOKUP(B44,Jan!B:BA,46,FALSE)&gt;0),VLOOKUP(B44,Jan!B:BA,46,FALSE)*24,"")</f>
        <v/>
      </c>
      <c r="H44" s="36" t="str">
        <f>IF(AND(VLOOKUP(B44,Jan!B:BA,6,FALSE)="",VLOOKUP(B44,Jan!B:BA,50,FALSE)&gt;0),VLOOKUP(B44,Jan!B:BA,50,FALSE)*24,"")</f>
        <v/>
      </c>
      <c r="I44" s="30" t="str">
        <f>IF(AND(NETWORKDAYS(B44,B44,Feiertage)=1,VLOOKUP(B44,Jan!B:BA,6,FALSE)="U"),"Urlaub","")</f>
        <v/>
      </c>
      <c r="J44" s="34" t="str">
        <f ca="1">IF(AND(VLOOKUP(B44,Jan!B:BA,6,FALSE)="",VLOOKUP(B44,Jan!B:BA,22,FALSE)&lt;0),"Absetzen von","")</f>
        <v/>
      </c>
      <c r="K44" s="263"/>
      <c r="M44" s="316" t="str">
        <f ca="1">IF(VLOOKUP(B44,Jan!B:BA,22,FALSE)&lt;&gt;0,VLOOKUP(B44,Jan!B:BA,22,FALSE),"")</f>
        <v/>
      </c>
      <c r="N44" s="327"/>
    </row>
    <row r="45" spans="2:14" ht="15.75" thickBot="1" x14ac:dyDescent="0.3">
      <c r="B45" s="186"/>
      <c r="C45" s="37"/>
      <c r="D45" s="38" t="s">
        <v>198</v>
      </c>
      <c r="E45" s="39" t="str">
        <f>IF(SUM(E14:E44)=0," ",SUM(E14:E44))</f>
        <v xml:space="preserve"> </v>
      </c>
      <c r="F45" s="39" t="str">
        <f>IF(SUM(F14:F44)=0," ",SUM(F14:F44))</f>
        <v xml:space="preserve"> </v>
      </c>
      <c r="G45" s="39" t="str">
        <f>IF(SUM(G14:G44)=0," ",SUM(G14:G44))</f>
        <v xml:space="preserve"> </v>
      </c>
      <c r="H45" s="40" t="str">
        <f>IF(SUM(H14:H44)=0," ",SUM(H14:H44))</f>
        <v xml:space="preserve"> </v>
      </c>
      <c r="I45" s="30"/>
      <c r="J45" s="185"/>
      <c r="K45" s="266"/>
      <c r="N45" s="327"/>
    </row>
    <row r="46" spans="2:14" x14ac:dyDescent="0.25">
      <c r="B46" s="44" t="s">
        <v>199</v>
      </c>
      <c r="C46" s="20"/>
      <c r="D46" s="41"/>
      <c r="E46" s="20"/>
      <c r="F46" s="20"/>
      <c r="G46" s="20" t="s">
        <v>200</v>
      </c>
      <c r="H46" s="20"/>
      <c r="I46" s="20"/>
      <c r="J46" s="20"/>
      <c r="K46" s="267"/>
      <c r="N46" s="327"/>
    </row>
    <row r="47" spans="2:14" x14ac:dyDescent="0.25">
      <c r="B47" s="44"/>
      <c r="C47" s="20"/>
      <c r="D47" s="41"/>
      <c r="E47" s="20"/>
      <c r="F47" s="20"/>
      <c r="G47" s="20"/>
      <c r="H47" s="20"/>
      <c r="I47" s="20"/>
      <c r="J47" s="20"/>
      <c r="K47" s="267"/>
      <c r="N47" s="327"/>
    </row>
    <row r="48" spans="2:14" x14ac:dyDescent="0.25">
      <c r="B48" s="44"/>
      <c r="C48" s="20"/>
      <c r="D48" s="41"/>
      <c r="E48" s="20"/>
      <c r="F48" s="20"/>
      <c r="G48" s="20"/>
      <c r="H48" s="20"/>
      <c r="I48" s="20"/>
      <c r="J48" s="20"/>
      <c r="K48" s="267"/>
      <c r="N48" s="327"/>
    </row>
    <row r="49" spans="1:14" x14ac:dyDescent="0.25">
      <c r="B49" s="44" t="s">
        <v>201</v>
      </c>
      <c r="C49" s="20"/>
      <c r="D49" s="41"/>
      <c r="E49" s="20"/>
      <c r="F49" s="20"/>
      <c r="G49" s="20" t="s">
        <v>202</v>
      </c>
      <c r="H49" s="20"/>
      <c r="I49" s="20"/>
      <c r="J49" s="20"/>
      <c r="K49" s="267"/>
      <c r="N49" s="327"/>
    </row>
    <row r="50" spans="1:14" x14ac:dyDescent="0.25">
      <c r="B50" s="253"/>
      <c r="C50" s="42"/>
      <c r="D50" s="18"/>
      <c r="E50" s="19"/>
      <c r="F50" s="19"/>
      <c r="G50" s="19"/>
      <c r="H50" s="43"/>
      <c r="I50" s="20"/>
      <c r="J50" s="44"/>
      <c r="K50" s="268"/>
      <c r="N50" s="327"/>
    </row>
    <row r="51" spans="1:14" x14ac:dyDescent="0.25">
      <c r="B51" s="253"/>
      <c r="C51" s="42"/>
      <c r="D51" s="18"/>
      <c r="E51" s="19"/>
      <c r="F51" s="19"/>
      <c r="G51" s="19"/>
      <c r="H51" s="43"/>
      <c r="I51" s="20"/>
      <c r="J51" s="44"/>
      <c r="K51" s="268"/>
      <c r="N51" s="327"/>
    </row>
    <row r="52" spans="1:14" x14ac:dyDescent="0.25">
      <c r="B52" s="253"/>
      <c r="C52" s="42"/>
      <c r="D52" s="18"/>
      <c r="E52" s="19"/>
      <c r="F52" s="19"/>
      <c r="G52" s="19"/>
      <c r="H52" s="43"/>
      <c r="I52" s="20"/>
      <c r="J52" s="44"/>
      <c r="K52" s="268"/>
      <c r="N52" s="327"/>
    </row>
    <row r="53" spans="1:14" x14ac:dyDescent="0.25">
      <c r="B53" s="253"/>
      <c r="C53" s="42"/>
      <c r="D53" s="18"/>
      <c r="E53" s="19"/>
      <c r="F53" s="19"/>
      <c r="G53" s="19"/>
      <c r="H53" s="43"/>
      <c r="I53" s="20"/>
      <c r="J53" s="44"/>
      <c r="K53" s="268"/>
      <c r="N53" s="327"/>
    </row>
    <row r="54" spans="1:14" s="45" customFormat="1" ht="18" x14ac:dyDescent="0.25">
      <c r="B54" s="252"/>
      <c r="C54" s="539" t="s">
        <v>186</v>
      </c>
      <c r="D54" s="539"/>
      <c r="E54" s="539"/>
      <c r="F54" s="539"/>
      <c r="G54" s="21"/>
      <c r="H54" s="21"/>
      <c r="I54" s="21"/>
      <c r="J54" s="21"/>
      <c r="K54" s="259"/>
      <c r="M54" s="317"/>
      <c r="N54" s="328"/>
    </row>
    <row r="55" spans="1:14" s="45" customFormat="1" ht="16.5" x14ac:dyDescent="0.25">
      <c r="B55" s="252" t="s">
        <v>82</v>
      </c>
      <c r="C55" s="21"/>
      <c r="D55" s="22"/>
      <c r="E55" s="21"/>
      <c r="F55" s="21"/>
      <c r="G55" s="21"/>
      <c r="H55" s="21"/>
      <c r="I55" s="23" t="str">
        <f>Struktureinheit</f>
        <v>Struktureinheit</v>
      </c>
      <c r="J55" s="24"/>
      <c r="K55" s="260"/>
      <c r="M55" s="317" t="s">
        <v>187</v>
      </c>
      <c r="N55" s="256"/>
    </row>
    <row r="56" spans="1:14" ht="16.5" x14ac:dyDescent="0.25">
      <c r="A56" s="29"/>
      <c r="B56" s="545" t="s">
        <v>1</v>
      </c>
      <c r="C56" s="545"/>
      <c r="D56" s="20" t="str">
        <f>Name</f>
        <v>Max Mustermann</v>
      </c>
      <c r="E56" s="25"/>
      <c r="F56" s="25"/>
      <c r="G56" s="25"/>
      <c r="H56" s="26"/>
      <c r="I56" s="27"/>
      <c r="J56" s="27"/>
      <c r="K56" s="260"/>
      <c r="M56" s="317" t="s">
        <v>188</v>
      </c>
      <c r="N56" s="257"/>
    </row>
    <row r="57" spans="1:14" ht="9.75" customHeight="1" x14ac:dyDescent="0.25">
      <c r="A57" s="29"/>
      <c r="C57" s="26"/>
      <c r="D57" s="28"/>
      <c r="E57" s="26"/>
      <c r="F57" s="26"/>
      <c r="G57" s="26"/>
      <c r="H57" s="26"/>
      <c r="I57" s="26"/>
      <c r="J57" s="26"/>
      <c r="K57" s="259"/>
      <c r="N57" s="327"/>
    </row>
    <row r="58" spans="1:14" x14ac:dyDescent="0.25">
      <c r="A58" s="29"/>
      <c r="B58" s="545" t="s">
        <v>189</v>
      </c>
      <c r="C58" s="545"/>
      <c r="D58" s="26">
        <f>Personalnummer</f>
        <v>123456789</v>
      </c>
      <c r="G58" s="26"/>
      <c r="H58" s="184" t="s">
        <v>190</v>
      </c>
      <c r="I58" s="540">
        <f>Geburtstag</f>
        <v>16833</v>
      </c>
      <c r="J58" s="540"/>
      <c r="K58" s="261"/>
      <c r="N58" s="327"/>
    </row>
    <row r="59" spans="1:14" x14ac:dyDescent="0.25">
      <c r="A59" s="29"/>
      <c r="C59" s="26"/>
      <c r="D59" s="28"/>
      <c r="E59" s="26"/>
      <c r="F59" s="26"/>
      <c r="G59" s="26"/>
      <c r="H59" s="26"/>
      <c r="I59" s="26"/>
      <c r="J59" s="26"/>
      <c r="K59" s="259"/>
      <c r="N59" s="327"/>
    </row>
    <row r="60" spans="1:14" x14ac:dyDescent="0.25">
      <c r="A60" s="29"/>
      <c r="B60" s="541" t="s">
        <v>191</v>
      </c>
      <c r="C60" s="541"/>
      <c r="D60" s="542">
        <f>B66</f>
        <v>42035</v>
      </c>
      <c r="E60" s="542"/>
      <c r="F60" s="542"/>
      <c r="G60" s="542"/>
      <c r="H60" s="542"/>
      <c r="I60" s="186"/>
      <c r="J60" s="543"/>
      <c r="K60" s="544"/>
      <c r="N60" s="327"/>
    </row>
    <row r="61" spans="1:14" ht="15" customHeight="1" x14ac:dyDescent="0.25">
      <c r="B61" s="557"/>
      <c r="C61" s="557"/>
      <c r="D61" s="558" t="s">
        <v>192</v>
      </c>
      <c r="E61" s="546" t="s">
        <v>38</v>
      </c>
      <c r="F61" s="546" t="s">
        <v>39</v>
      </c>
      <c r="G61" s="546" t="s">
        <v>105</v>
      </c>
      <c r="H61" s="548" t="s">
        <v>81</v>
      </c>
      <c r="I61" s="30" t="s">
        <v>193</v>
      </c>
      <c r="J61" s="550" t="s">
        <v>63</v>
      </c>
      <c r="K61" s="551"/>
      <c r="N61" s="327"/>
    </row>
    <row r="62" spans="1:14" x14ac:dyDescent="0.25">
      <c r="B62" s="557"/>
      <c r="C62" s="557"/>
      <c r="D62" s="558"/>
      <c r="E62" s="547"/>
      <c r="F62" s="547"/>
      <c r="G62" s="547"/>
      <c r="H62" s="549"/>
      <c r="I62" s="552"/>
      <c r="J62" s="550"/>
      <c r="K62" s="551"/>
      <c r="N62" s="327"/>
    </row>
    <row r="63" spans="1:14" x14ac:dyDescent="0.25">
      <c r="B63" s="557"/>
      <c r="C63" s="186"/>
      <c r="D63" s="31" t="s">
        <v>194</v>
      </c>
      <c r="E63" s="186" t="s">
        <v>195</v>
      </c>
      <c r="F63" s="186"/>
      <c r="G63" s="186" t="s">
        <v>196</v>
      </c>
      <c r="H63" s="32"/>
      <c r="I63" s="544"/>
      <c r="J63" s="543"/>
      <c r="K63" s="554"/>
      <c r="N63" s="327"/>
    </row>
    <row r="64" spans="1:14" x14ac:dyDescent="0.25">
      <c r="B64" s="186" t="s">
        <v>80</v>
      </c>
      <c r="C64" s="186" t="s">
        <v>128</v>
      </c>
      <c r="D64" s="31"/>
      <c r="E64" s="186" t="s">
        <v>197</v>
      </c>
      <c r="F64" s="186" t="s">
        <v>197</v>
      </c>
      <c r="G64" s="186" t="s">
        <v>197</v>
      </c>
      <c r="H64" s="32" t="s">
        <v>197</v>
      </c>
      <c r="I64" s="553"/>
      <c r="J64" s="555"/>
      <c r="K64" s="556"/>
      <c r="N64" s="327"/>
    </row>
    <row r="65" spans="2:14" x14ac:dyDescent="0.25">
      <c r="B65" s="186"/>
      <c r="C65" s="186"/>
      <c r="D65" s="33"/>
      <c r="E65" s="16"/>
      <c r="F65" s="186"/>
      <c r="G65" s="186"/>
      <c r="H65" s="32"/>
      <c r="I65" s="30"/>
      <c r="J65" s="34"/>
      <c r="K65" s="262"/>
      <c r="N65" s="327"/>
    </row>
    <row r="66" spans="2:14" x14ac:dyDescent="0.25">
      <c r="B66" s="245">
        <f>Feb!F8</f>
        <v>42035</v>
      </c>
      <c r="C66" s="35">
        <f>B66</f>
        <v>42035</v>
      </c>
      <c r="D66" s="17" t="str">
        <f>IF(AND(VLOOKUP(B66,Feb!B:BA,8,FALSE)&gt;0,VLOOKUP(B66,Feb!B:BA,6,FALSE)=""), CONCATENATE(TEXT(VLOOKUP(B66,Feb!B:BA,7,FALSE),"hh:mm"), "-", TEXT(VLOOKUP(B66,Feb!B:BA,8,FALSE),"[hh]:mm")," Uhr ", IF(VLOOKUP(B66,Feb!B:BA,12,FALSE)&gt;0, CONCATENATE("und ",TEXT(VLOOKUP(B66,Feb!B:BA,12,FALSE),"hh:mm"), "-", TEXT(VLOOKUP(B66,Feb!B:BA,13,FALSE),"[hh]:mm")," Uhr "),"")), IF(VLOOKUP(B66,Feb!B:BA,6,FALSE)="","",VLOOKUP(VLOOKUP(B66,Feb!B:BA,6,FALSE),Legende_Code,2,FALSE)))</f>
        <v/>
      </c>
      <c r="E66" s="16" t="str">
        <f>IF(AND(VLOOKUP(B66,Feb!B:BA,6,FALSE)="", WEEKDAY(B66,2)=6,VLOOKUP(B66,Feb!B:BA,48,FALSE)&gt;0),VLOOKUP(B66,Feb!B:BA,48,FALSE)*24,"")</f>
        <v/>
      </c>
      <c r="F66" s="16" t="str">
        <f>IF(AND(VLOOKUP(B66,Feb!B:BA,6,FALSE)="", WEEKDAY(B66,2)=7,VLOOKUP(B66,Feb!B:BA,49,FALSE)&gt;0),VLOOKUP(B66,Feb!B:BA,49,FALSE)*24,"")</f>
        <v/>
      </c>
      <c r="G66" s="16" t="str">
        <f>IF(AND(VLOOKUP(B66,Feb!B:BA,6,FALSE)="",VLOOKUP(B66,Feb!B:BA,46,FALSE)&gt;0),VLOOKUP(B66,Feb!B:BA,46,FALSE)*24,"")</f>
        <v/>
      </c>
      <c r="H66" s="36" t="str">
        <f>IF(AND(VLOOKUP(B66,Feb!B:BA,6,FALSE)="",VLOOKUP(B66,Feb!B:BA,50,FALSE)&gt;0),VLOOKUP(B66,Feb!B:BA,50,FALSE)*24,"")</f>
        <v/>
      </c>
      <c r="I66" s="30" t="str">
        <f>IF(AND(NETWORKDAYS(B66,B66,Feiertage)=1,VLOOKUP(B66,Feb!B:BA,6,FALSE)="U"),"Urlaub","")</f>
        <v/>
      </c>
      <c r="J66" s="34" t="str">
        <f ca="1">IF(AND(VLOOKUP(B66,Feb!B:BA,6,FALSE)="",VLOOKUP(B66,Feb!B:BA,22,FALSE)&lt;0),"Absetzen von","")</f>
        <v/>
      </c>
      <c r="K66" s="263"/>
      <c r="M66" s="316" t="str">
        <f ca="1">IF(VLOOKUP(B66,Feb!B:BA,22,FALSE)&lt;&gt;0,VLOOKUP(B66,Feb!B:BA,22,FALSE),"")</f>
        <v/>
      </c>
      <c r="N66" s="327"/>
    </row>
    <row r="67" spans="2:14" x14ac:dyDescent="0.25">
      <c r="B67" s="245">
        <f>Feb!F9</f>
        <v>42036</v>
      </c>
      <c r="C67" s="35">
        <f>B67</f>
        <v>42036</v>
      </c>
      <c r="D67" s="17" t="str">
        <f>IF(AND(VLOOKUP(B67,Feb!B:BA,8,FALSE)&gt;0,VLOOKUP(B67,Feb!B:BA,6,FALSE)=""), CONCATENATE(TEXT(VLOOKUP(B67,Feb!B:BA,7,FALSE),"hh:mm"), "-", TEXT(VLOOKUP(B67,Feb!B:BA,8,FALSE),"[hh]:mm")," Uhr ", IF(VLOOKUP(B67,Feb!B:BA,12,FALSE)&gt;0, CONCATENATE("und ",TEXT(VLOOKUP(B67,Feb!B:BA,12,FALSE),"hh:mm"), "-", TEXT(VLOOKUP(B67,Feb!B:BA,13,FALSE),"[hh]:mm")," Uhr "),"")), IF(VLOOKUP(B67,Feb!B:BA,6,FALSE)="","",VLOOKUP(VLOOKUP(B67,Feb!B:BA,6,FALSE),Legende_Code,2,FALSE)))</f>
        <v/>
      </c>
      <c r="E67" s="16" t="str">
        <f>IF(AND(VLOOKUP(B67,Feb!B:BA,6,FALSE)="", WEEKDAY(B67,2)=6,VLOOKUP(B67,Feb!B:BA,48,FALSE)&gt;0),VLOOKUP(B67,Feb!B:BA,48,FALSE)*24,"")</f>
        <v/>
      </c>
      <c r="F67" s="16" t="str">
        <f>IF(AND(VLOOKUP(B67,Feb!B:BA,6,FALSE)="", WEEKDAY(B67,2)=7,VLOOKUP(B67,Feb!B:BA,49,FALSE)&gt;0),VLOOKUP(B67,Feb!B:BA,49,FALSE)*24,"")</f>
        <v/>
      </c>
      <c r="G67" s="16" t="str">
        <f>IF(AND(VLOOKUP(B67,Feb!B:BA,6,FALSE)="",VLOOKUP(B67,Feb!B:BA,46,FALSE)&gt;0),VLOOKUP(B67,Feb!B:BA,46,FALSE)*24,"")</f>
        <v/>
      </c>
      <c r="H67" s="36" t="str">
        <f>IF(AND(VLOOKUP(B67,Feb!B:BA,6,FALSE)="",VLOOKUP(B67,Feb!B:BA,50,FALSE)&gt;0),VLOOKUP(B67,Feb!B:BA,50,FALSE)*24,"")</f>
        <v/>
      </c>
      <c r="I67" s="30" t="str">
        <f>IF(AND(NETWORKDAYS(B67,B67,Feiertage)=1,VLOOKUP(B67,Feb!B:BA,6,FALSE)="U"),"Urlaub","")</f>
        <v/>
      </c>
      <c r="J67" s="34" t="str">
        <f ca="1">IF(AND(VLOOKUP(B67,Feb!B:BA,6,FALSE)="",VLOOKUP(B67,Feb!B:BA,22,FALSE)&lt;0),"Absetzen von","")</f>
        <v/>
      </c>
      <c r="K67" s="263"/>
      <c r="M67" s="316" t="str">
        <f ca="1">IF(VLOOKUP(B67,Feb!B:BA,22,FALSE)&lt;&gt;0,VLOOKUP(B67,Feb!B:BA,22,FALSE),"")</f>
        <v/>
      </c>
      <c r="N67" s="327"/>
    </row>
    <row r="68" spans="2:14" x14ac:dyDescent="0.25">
      <c r="B68" s="245">
        <f>Feb!F10</f>
        <v>42037</v>
      </c>
      <c r="C68" s="35">
        <f>B68</f>
        <v>42037</v>
      </c>
      <c r="D68" s="17" t="str">
        <f>IF(AND(VLOOKUP(B68,Feb!B:BA,8,FALSE)&gt;0,VLOOKUP(B68,Feb!B:BA,6,FALSE)=""), CONCATENATE(TEXT(VLOOKUP(B68,Feb!B:BA,7,FALSE),"hh:mm"), "-", TEXT(VLOOKUP(B68,Feb!B:BA,8,FALSE),"[hh]:mm")," Uhr ", IF(VLOOKUP(B68,Feb!B:BA,12,FALSE)&gt;0, CONCATENATE("und ",TEXT(VLOOKUP(B68,Feb!B:BA,12,FALSE),"hh:mm"), "-", TEXT(VLOOKUP(B68,Feb!B:BA,13,FALSE),"[hh]:mm")," Uhr "),"")), IF(VLOOKUP(B68,Feb!B:BA,6,FALSE)="","",VLOOKUP(VLOOKUP(B68,Feb!B:BA,6,FALSE),Legende_Code,2,FALSE)))</f>
        <v/>
      </c>
      <c r="E68" s="16" t="str">
        <f>IF(AND(VLOOKUP(B68,Feb!B:BA,6,FALSE)="", WEEKDAY(B68,2)=6,VLOOKUP(B68,Feb!B:BA,48,FALSE)&gt;0),VLOOKUP(B68,Feb!B:BA,48,FALSE)*24,"")</f>
        <v/>
      </c>
      <c r="F68" s="16" t="str">
        <f>IF(AND(VLOOKUP(B68,Feb!B:BA,6,FALSE)="", WEEKDAY(B68,2)=7,VLOOKUP(B68,Feb!B:BA,49,FALSE)&gt;0),VLOOKUP(B68,Feb!B:BA,49,FALSE)*24,"")</f>
        <v/>
      </c>
      <c r="G68" s="16" t="str">
        <f>IF(AND(VLOOKUP(B68,Feb!B:BA,6,FALSE)="",VLOOKUP(B68,Feb!B:BA,46,FALSE)&gt;0),VLOOKUP(B68,Feb!B:BA,46,FALSE)*24,"")</f>
        <v/>
      </c>
      <c r="H68" s="36" t="str">
        <f>IF(AND(VLOOKUP(B68,Feb!B:BA,6,FALSE)="",VLOOKUP(B68,Feb!B:BA,50,FALSE)&gt;0),VLOOKUP(B68,Feb!B:BA,50,FALSE)*24,"")</f>
        <v/>
      </c>
      <c r="I68" s="30" t="str">
        <f>IF(AND(NETWORKDAYS(B68,B68,Feiertage)=1,VLOOKUP(B68,Feb!B:BA,6,FALSE)="U"),"Urlaub","")</f>
        <v/>
      </c>
      <c r="J68" s="34" t="str">
        <f ca="1">IF(AND(VLOOKUP(B68,Feb!B:BA,6,FALSE)="",VLOOKUP(B68,Feb!B:BA,22,FALSE)&lt;0),"Absetzen von","")</f>
        <v/>
      </c>
      <c r="K68" s="263"/>
      <c r="M68" s="316" t="str">
        <f ca="1">IF(VLOOKUP(B68,Feb!B:BA,22,FALSE)&lt;&gt;0,VLOOKUP(B68,Feb!B:BA,22,FALSE),"")</f>
        <v/>
      </c>
      <c r="N68" s="327"/>
    </row>
    <row r="69" spans="2:14" x14ac:dyDescent="0.25">
      <c r="B69" s="245">
        <f>Feb!F11</f>
        <v>42038</v>
      </c>
      <c r="C69" s="35">
        <f>B69</f>
        <v>42038</v>
      </c>
      <c r="D69" s="17" t="str">
        <f>IF(AND(VLOOKUP(B69,Feb!B:BA,8,FALSE)&gt;0,VLOOKUP(B69,Feb!B:BA,6,FALSE)=""), CONCATENATE(TEXT(VLOOKUP(B69,Feb!B:BA,7,FALSE),"hh:mm"), "-", TEXT(VLOOKUP(B69,Feb!B:BA,8,FALSE),"[hh]:mm")," Uhr ", IF(VLOOKUP(B69,Feb!B:BA,12,FALSE)&gt;0, CONCATENATE("und ",TEXT(VLOOKUP(B69,Feb!B:BA,12,FALSE),"hh:mm"), "-", TEXT(VLOOKUP(B69,Feb!B:BA,13,FALSE),"[hh]:mm")," Uhr "),"")), IF(VLOOKUP(B69,Feb!B:BA,6,FALSE)="","",VLOOKUP(VLOOKUP(B69,Feb!B:BA,6,FALSE),Legende_Code,2,FALSE)))</f>
        <v/>
      </c>
      <c r="E69" s="16" t="str">
        <f>IF(AND(VLOOKUP(B69,Feb!B:BA,6,FALSE)="", WEEKDAY(B69,2)=6,VLOOKUP(B69,Feb!B:BA,48,FALSE)&gt;0),VLOOKUP(B69,Feb!B:BA,48,FALSE)*24,"")</f>
        <v/>
      </c>
      <c r="F69" s="16" t="str">
        <f>IF(AND(VLOOKUP(B69,Feb!B:BA,6,FALSE)="", WEEKDAY(B69,2)=7,VLOOKUP(B69,Feb!B:BA,49,FALSE)&gt;0),VLOOKUP(B69,Feb!B:BA,49,FALSE)*24,"")</f>
        <v/>
      </c>
      <c r="G69" s="16" t="str">
        <f>IF(AND(VLOOKUP(B69,Feb!B:BA,6,FALSE)="",VLOOKUP(B69,Feb!B:BA,46,FALSE)&gt;0),VLOOKUP(B69,Feb!B:BA,46,FALSE)*24,"")</f>
        <v/>
      </c>
      <c r="H69" s="36" t="str">
        <f>IF(AND(VLOOKUP(B69,Feb!B:BA,6,FALSE)="",VLOOKUP(B69,Feb!B:BA,50,FALSE)&gt;0),VLOOKUP(B69,Feb!B:BA,50,FALSE)*24,"")</f>
        <v/>
      </c>
      <c r="I69" s="30" t="str">
        <f>IF(AND(NETWORKDAYS(B69,B69,Feiertage)=1,VLOOKUP(B69,Feb!B:BA,6,FALSE)="U"),"Urlaub","")</f>
        <v/>
      </c>
      <c r="J69" s="34" t="str">
        <f ca="1">IF(AND(VLOOKUP(B69,Feb!B:BA,6,FALSE)="",VLOOKUP(B69,Feb!B:BA,22,FALSE)&lt;0),"Absetzen von","")</f>
        <v/>
      </c>
      <c r="K69" s="263"/>
      <c r="M69" s="316" t="str">
        <f ca="1">IF(VLOOKUP(B69,Feb!B:BA,22,FALSE)&lt;&gt;0,VLOOKUP(B69,Feb!B:BA,22,FALSE),"")</f>
        <v/>
      </c>
      <c r="N69" s="327"/>
    </row>
    <row r="70" spans="2:14" x14ac:dyDescent="0.25">
      <c r="B70" s="245">
        <f>Feb!F12</f>
        <v>42039</v>
      </c>
      <c r="C70" s="35">
        <f>B70</f>
        <v>42039</v>
      </c>
      <c r="D70" s="17" t="str">
        <f>IF(AND(VLOOKUP(B70,Feb!B:BA,8,FALSE)&gt;0,VLOOKUP(B70,Feb!B:BA,6,FALSE)=""), CONCATENATE(TEXT(VLOOKUP(B70,Feb!B:BA,7,FALSE),"hh:mm"), "-", TEXT(VLOOKUP(B70,Feb!B:BA,8,FALSE),"[hh]:mm")," Uhr ", IF(VLOOKUP(B70,Feb!B:BA,12,FALSE)&gt;0, CONCATENATE("und ",TEXT(VLOOKUP(B70,Feb!B:BA,12,FALSE),"hh:mm"), "-", TEXT(VLOOKUP(B70,Feb!B:BA,13,FALSE),"[hh]:mm")," Uhr "),"")), IF(VLOOKUP(B70,Feb!B:BA,6,FALSE)="","",VLOOKUP(VLOOKUP(B70,Feb!B:BA,6,FALSE),Legende_Code,2,FALSE)))</f>
        <v/>
      </c>
      <c r="E70" s="16" t="str">
        <f>IF(AND(VLOOKUP(B70,Feb!B:BA,6,FALSE)="", WEEKDAY(B70,2)=6,VLOOKUP(B70,Feb!B:BA,48,FALSE)&gt;0),VLOOKUP(B70,Feb!B:BA,48,FALSE)*24,"")</f>
        <v/>
      </c>
      <c r="F70" s="16" t="str">
        <f>IF(AND(VLOOKUP(B70,Feb!B:BA,6,FALSE)="", WEEKDAY(B70,2)=7,VLOOKUP(B70,Feb!B:BA,49,FALSE)&gt;0),VLOOKUP(B70,Feb!B:BA,49,FALSE)*24,"")</f>
        <v/>
      </c>
      <c r="G70" s="16" t="str">
        <f>IF(AND(VLOOKUP(B70,Feb!B:BA,6,FALSE)="",VLOOKUP(B70,Feb!B:BA,46,FALSE)&gt;0),VLOOKUP(B70,Feb!B:BA,46,FALSE)*24,"")</f>
        <v/>
      </c>
      <c r="H70" s="36" t="str">
        <f>IF(AND(VLOOKUP(B70,Feb!B:BA,6,FALSE)="",VLOOKUP(B70,Feb!B:BA,50,FALSE)&gt;0),VLOOKUP(B70,Feb!B:BA,50,FALSE)*24,"")</f>
        <v/>
      </c>
      <c r="I70" s="30" t="str">
        <f>IF(AND(NETWORKDAYS(B70,B70,Feiertage)=1,VLOOKUP(B70,Feb!B:BA,6,FALSE)="U"),"Urlaub","")</f>
        <v/>
      </c>
      <c r="J70" s="34" t="str">
        <f ca="1">IF(AND(VLOOKUP(B70,Feb!B:BA,6,FALSE)="",VLOOKUP(B70,Feb!B:BA,22,FALSE)&lt;0),"Absetzen von","")</f>
        <v/>
      </c>
      <c r="K70" s="263"/>
      <c r="M70" s="316" t="str">
        <f ca="1">IF(VLOOKUP(B70,Feb!B:BA,22,FALSE)&lt;&gt;0,VLOOKUP(B70,Feb!B:BA,22,FALSE),"")</f>
        <v/>
      </c>
      <c r="N70" s="327"/>
    </row>
    <row r="71" spans="2:14" x14ac:dyDescent="0.25">
      <c r="B71" s="245">
        <f>Feb!F13</f>
        <v>42040</v>
      </c>
      <c r="C71" s="35">
        <f t="shared" ref="C71:C147" si="1">B71</f>
        <v>42040</v>
      </c>
      <c r="D71" s="17" t="str">
        <f>IF(AND(VLOOKUP(B71,Feb!B:BA,8,FALSE)&gt;0,VLOOKUP(B71,Feb!B:BA,6,FALSE)=""), CONCATENATE(TEXT(VLOOKUP(B71,Feb!B:BA,7,FALSE),"hh:mm"), "-", TEXT(VLOOKUP(B71,Feb!B:BA,8,FALSE),"[hh]:mm")," Uhr ", IF(VLOOKUP(B71,Feb!B:BA,12,FALSE)&gt;0, CONCATENATE("und ",TEXT(VLOOKUP(B71,Feb!B:BA,12,FALSE),"hh:mm"), "-", TEXT(VLOOKUP(B71,Feb!B:BA,13,FALSE),"[hh]:mm")," Uhr "),"")), IF(VLOOKUP(B71,Feb!B:BA,6,FALSE)="","",VLOOKUP(VLOOKUP(B71,Feb!B:BA,6,FALSE),Legende_Code,2,FALSE)))</f>
        <v/>
      </c>
      <c r="E71" s="16" t="str">
        <f>IF(AND(VLOOKUP(B71,Feb!B:BA,6,FALSE)="", WEEKDAY(B71,2)=6,VLOOKUP(B71,Feb!B:BA,48,FALSE)&gt;0),VLOOKUP(B71,Feb!B:BA,48,FALSE)*24,"")</f>
        <v/>
      </c>
      <c r="F71" s="16" t="str">
        <f>IF(AND(VLOOKUP(B71,Feb!B:BA,6,FALSE)="", WEEKDAY(B71,2)=7,VLOOKUP(B71,Feb!B:BA,49,FALSE)&gt;0),VLOOKUP(B71,Feb!B:BA,49,FALSE)*24,"")</f>
        <v/>
      </c>
      <c r="G71" s="16" t="str">
        <f>IF(AND(VLOOKUP(B71,Feb!B:BA,6,FALSE)="",VLOOKUP(B71,Feb!B:BA,46,FALSE)&gt;0),VLOOKUP(B71,Feb!B:BA,46,FALSE)*24,"")</f>
        <v/>
      </c>
      <c r="H71" s="36" t="str">
        <f>IF(AND(VLOOKUP(B71,Feb!B:BA,6,FALSE)="",VLOOKUP(B71,Feb!B:BA,50,FALSE)&gt;0),VLOOKUP(B71,Feb!B:BA,50,FALSE)*24,"")</f>
        <v/>
      </c>
      <c r="I71" s="30" t="str">
        <f>IF(AND(NETWORKDAYS(B71,B71,Feiertage)=1,VLOOKUP(B71,Feb!B:BA,6,FALSE)="U"),"Urlaub","")</f>
        <v/>
      </c>
      <c r="J71" s="34" t="str">
        <f ca="1">IF(AND(VLOOKUP(B71,Feb!B:BA,6,FALSE)="",VLOOKUP(B71,Feb!B:BA,22,FALSE)&lt;0),"Absetzen von","")</f>
        <v/>
      </c>
      <c r="K71" s="263"/>
      <c r="M71" s="316" t="str">
        <f ca="1">IF(VLOOKUP(B71,Feb!B:BA,22,FALSE)&lt;&gt;0,VLOOKUP(B71,Feb!B:BA,22,FALSE),"")</f>
        <v/>
      </c>
      <c r="N71" s="327"/>
    </row>
    <row r="72" spans="2:14" x14ac:dyDescent="0.25">
      <c r="B72" s="245">
        <f>Feb!F14</f>
        <v>42041</v>
      </c>
      <c r="C72" s="35">
        <f t="shared" si="1"/>
        <v>42041</v>
      </c>
      <c r="D72" s="17" t="str">
        <f>IF(AND(VLOOKUP(B72,Feb!B:BA,8,FALSE)&gt;0,VLOOKUP(B72,Feb!B:BA,6,FALSE)=""), CONCATENATE(TEXT(VLOOKUP(B72,Feb!B:BA,7,FALSE),"hh:mm"), "-", TEXT(VLOOKUP(B72,Feb!B:BA,8,FALSE),"[hh]:mm")," Uhr ", IF(VLOOKUP(B72,Feb!B:BA,12,FALSE)&gt;0, CONCATENATE("und ",TEXT(VLOOKUP(B72,Feb!B:BA,12,FALSE),"hh:mm"), "-", TEXT(VLOOKUP(B72,Feb!B:BA,13,FALSE),"[hh]:mm")," Uhr "),"")), IF(VLOOKUP(B72,Feb!B:BA,6,FALSE)="","",VLOOKUP(VLOOKUP(B72,Feb!B:BA,6,FALSE),Legende_Code,2,FALSE)))</f>
        <v/>
      </c>
      <c r="E72" s="16" t="str">
        <f>IF(AND(VLOOKUP(B72,Feb!B:BA,6,FALSE)="", WEEKDAY(B72,2)=6,VLOOKUP(B72,Feb!B:BA,48,FALSE)&gt;0),VLOOKUP(B72,Feb!B:BA,48,FALSE)*24,"")</f>
        <v/>
      </c>
      <c r="F72" s="16" t="str">
        <f>IF(AND(VLOOKUP(B72,Feb!B:BA,6,FALSE)="", WEEKDAY(B72,2)=7,VLOOKUP(B72,Feb!B:BA,49,FALSE)&gt;0),VLOOKUP(B72,Feb!B:BA,49,FALSE)*24,"")</f>
        <v/>
      </c>
      <c r="G72" s="16" t="str">
        <f>IF(AND(VLOOKUP(B72,Feb!B:BA,6,FALSE)="",VLOOKUP(B72,Feb!B:BA,46,FALSE)&gt;0),VLOOKUP(B72,Feb!B:BA,46,FALSE)*24,"")</f>
        <v/>
      </c>
      <c r="H72" s="36" t="str">
        <f>IF(AND(VLOOKUP(B72,Feb!B:BA,6,FALSE)="",VLOOKUP(B72,Feb!B:BA,50,FALSE)&gt;0),VLOOKUP(B72,Feb!B:BA,50,FALSE)*24,"")</f>
        <v/>
      </c>
      <c r="I72" s="30" t="str">
        <f>IF(AND(NETWORKDAYS(B72,B72,Feiertage)=1,VLOOKUP(B72,Feb!B:BA,6,FALSE)="U"),"Urlaub","")</f>
        <v/>
      </c>
      <c r="J72" s="34" t="str">
        <f ca="1">IF(AND(VLOOKUP(B72,Feb!B:BA,6,FALSE)="",VLOOKUP(B72,Feb!B:BA,22,FALSE)&lt;0),"Absetzen von","")</f>
        <v/>
      </c>
      <c r="K72" s="263"/>
      <c r="M72" s="316" t="str">
        <f ca="1">IF(VLOOKUP(B72,Feb!B:BA,22,FALSE)&lt;&gt;0,VLOOKUP(B72,Feb!B:BA,22,FALSE),"")</f>
        <v/>
      </c>
      <c r="N72" s="327"/>
    </row>
    <row r="73" spans="2:14" x14ac:dyDescent="0.25">
      <c r="B73" s="245">
        <f>Feb!F15</f>
        <v>42042</v>
      </c>
      <c r="C73" s="35">
        <f t="shared" si="1"/>
        <v>42042</v>
      </c>
      <c r="D73" s="17" t="str">
        <f>IF(AND(VLOOKUP(B73,Feb!B:BA,8,FALSE)&gt;0,VLOOKUP(B73,Feb!B:BA,6,FALSE)=""), CONCATENATE(TEXT(VLOOKUP(B73,Feb!B:BA,7,FALSE),"hh:mm"), "-", TEXT(VLOOKUP(B73,Feb!B:BA,8,FALSE),"[hh]:mm")," Uhr ", IF(VLOOKUP(B73,Feb!B:BA,12,FALSE)&gt;0, CONCATENATE("und ",TEXT(VLOOKUP(B73,Feb!B:BA,12,FALSE),"hh:mm"), "-", TEXT(VLOOKUP(B73,Feb!B:BA,13,FALSE),"[hh]:mm")," Uhr "),"")), IF(VLOOKUP(B73,Feb!B:BA,6,FALSE)="","",VLOOKUP(VLOOKUP(B73,Feb!B:BA,6,FALSE),Legende_Code,2,FALSE)))</f>
        <v/>
      </c>
      <c r="E73" s="16" t="str">
        <f>IF(AND(VLOOKUP(B73,Feb!B:BA,6,FALSE)="", WEEKDAY(B73,2)=6,VLOOKUP(B73,Feb!B:BA,48,FALSE)&gt;0),VLOOKUP(B73,Feb!B:BA,48,FALSE)*24,"")</f>
        <v/>
      </c>
      <c r="F73" s="16" t="str">
        <f>IF(AND(VLOOKUP(B73,Feb!B:BA,6,FALSE)="", WEEKDAY(B73,2)=7,VLOOKUP(B73,Feb!B:BA,49,FALSE)&gt;0),VLOOKUP(B73,Feb!B:BA,49,FALSE)*24,"")</f>
        <v/>
      </c>
      <c r="G73" s="16" t="str">
        <f>IF(AND(VLOOKUP(B73,Feb!B:BA,6,FALSE)="",VLOOKUP(B73,Feb!B:BA,46,FALSE)&gt;0),VLOOKUP(B73,Feb!B:BA,46,FALSE)*24,"")</f>
        <v/>
      </c>
      <c r="H73" s="36" t="str">
        <f>IF(AND(VLOOKUP(B73,Feb!B:BA,6,FALSE)="",VLOOKUP(B73,Feb!B:BA,50,FALSE)&gt;0),VLOOKUP(B73,Feb!B:BA,50,FALSE)*24,"")</f>
        <v/>
      </c>
      <c r="I73" s="30" t="str">
        <f>IF(AND(NETWORKDAYS(B73,B73,Feiertage)=1,VLOOKUP(B73,Feb!B:BA,6,FALSE)="U"),"Urlaub","")</f>
        <v/>
      </c>
      <c r="J73" s="34" t="str">
        <f ca="1">IF(AND(VLOOKUP(B73,Feb!B:BA,6,FALSE)="",VLOOKUP(B73,Feb!B:BA,22,FALSE)&lt;0),"Absetzen von","")</f>
        <v/>
      </c>
      <c r="K73" s="263"/>
      <c r="M73" s="316" t="str">
        <f ca="1">IF(VLOOKUP(B73,Feb!B:BA,22,FALSE)&lt;&gt;0,VLOOKUP(B73,Feb!B:BA,22,FALSE),"")</f>
        <v/>
      </c>
      <c r="N73" s="327"/>
    </row>
    <row r="74" spans="2:14" x14ac:dyDescent="0.25">
      <c r="B74" s="245">
        <f>Feb!F16</f>
        <v>42043</v>
      </c>
      <c r="C74" s="35">
        <f t="shared" si="1"/>
        <v>42043</v>
      </c>
      <c r="D74" s="17" t="str">
        <f>IF(AND(VLOOKUP(B74,Feb!B:BA,8,FALSE)&gt;0,VLOOKUP(B74,Feb!B:BA,6,FALSE)=""), CONCATENATE(TEXT(VLOOKUP(B74,Feb!B:BA,7,FALSE),"hh:mm"), "-", TEXT(VLOOKUP(B74,Feb!B:BA,8,FALSE),"[hh]:mm")," Uhr ", IF(VLOOKUP(B74,Feb!B:BA,12,FALSE)&gt;0, CONCATENATE("und ",TEXT(VLOOKUP(B74,Feb!B:BA,12,FALSE),"hh:mm"), "-", TEXT(VLOOKUP(B74,Feb!B:BA,13,FALSE),"[hh]:mm")," Uhr "),"")), IF(VLOOKUP(B74,Feb!B:BA,6,FALSE)="","",VLOOKUP(VLOOKUP(B74,Feb!B:BA,6,FALSE),Legende_Code,2,FALSE)))</f>
        <v/>
      </c>
      <c r="E74" s="16" t="str">
        <f>IF(AND(VLOOKUP(B74,Feb!B:BA,6,FALSE)="", WEEKDAY(B74,2)=6,VLOOKUP(B74,Feb!B:BA,48,FALSE)&gt;0),VLOOKUP(B74,Feb!B:BA,48,FALSE)*24,"")</f>
        <v/>
      </c>
      <c r="F74" s="16" t="str">
        <f>IF(AND(VLOOKUP(B74,Feb!B:BA,6,FALSE)="", WEEKDAY(B74,2)=7,VLOOKUP(B74,Feb!B:BA,49,FALSE)&gt;0),VLOOKUP(B74,Feb!B:BA,49,FALSE)*24,"")</f>
        <v/>
      </c>
      <c r="G74" s="16" t="str">
        <f>IF(AND(VLOOKUP(B74,Feb!B:BA,6,FALSE)="",VLOOKUP(B74,Feb!B:BA,46,FALSE)&gt;0),VLOOKUP(B74,Feb!B:BA,46,FALSE)*24,"")</f>
        <v/>
      </c>
      <c r="H74" s="36" t="str">
        <f>IF(AND(VLOOKUP(B74,Feb!B:BA,6,FALSE)="",VLOOKUP(B74,Feb!B:BA,50,FALSE)&gt;0),VLOOKUP(B74,Feb!B:BA,50,FALSE)*24,"")</f>
        <v/>
      </c>
      <c r="I74" s="30" t="str">
        <f>IF(AND(NETWORKDAYS(B74,B74,Feiertage)=1,VLOOKUP(B74,Feb!B:BA,6,FALSE)="U"),"Urlaub","")</f>
        <v/>
      </c>
      <c r="J74" s="34" t="str">
        <f ca="1">IF(AND(VLOOKUP(B74,Feb!B:BA,6,FALSE)="",VLOOKUP(B74,Feb!B:BA,22,FALSE)&lt;0),"Absetzen von","")</f>
        <v/>
      </c>
      <c r="K74" s="263"/>
      <c r="M74" s="316" t="str">
        <f ca="1">IF(VLOOKUP(B74,Feb!B:BA,22,FALSE)&lt;&gt;0,VLOOKUP(B74,Feb!B:BA,22,FALSE),"")</f>
        <v/>
      </c>
      <c r="N74" s="327"/>
    </row>
    <row r="75" spans="2:14" x14ac:dyDescent="0.25">
      <c r="B75" s="245">
        <f>Feb!F17</f>
        <v>42044</v>
      </c>
      <c r="C75" s="35">
        <f t="shared" si="1"/>
        <v>42044</v>
      </c>
      <c r="D75" s="17" t="str">
        <f>IF(AND(VLOOKUP(B75,Feb!B:BA,8,FALSE)&gt;0,VLOOKUP(B75,Feb!B:BA,6,FALSE)=""), CONCATENATE(TEXT(VLOOKUP(B75,Feb!B:BA,7,FALSE),"hh:mm"), "-", TEXT(VLOOKUP(B75,Feb!B:BA,8,FALSE),"[hh]:mm")," Uhr ", IF(VLOOKUP(B75,Feb!B:BA,12,FALSE)&gt;0, CONCATENATE("und ",TEXT(VLOOKUP(B75,Feb!B:BA,12,FALSE),"hh:mm"), "-", TEXT(VLOOKUP(B75,Feb!B:BA,13,FALSE),"[hh]:mm")," Uhr "),"")), IF(VLOOKUP(B75,Feb!B:BA,6,FALSE)="","",VLOOKUP(VLOOKUP(B75,Feb!B:BA,6,FALSE),Legende_Code,2,FALSE)))</f>
        <v/>
      </c>
      <c r="E75" s="16" t="str">
        <f>IF(AND(VLOOKUP(B75,Feb!B:BA,6,FALSE)="", WEEKDAY(B75,2)=6,VLOOKUP(B75,Feb!B:BA,48,FALSE)&gt;0),VLOOKUP(B75,Feb!B:BA,48,FALSE)*24,"")</f>
        <v/>
      </c>
      <c r="F75" s="16" t="str">
        <f>IF(AND(VLOOKUP(B75,Feb!B:BA,6,FALSE)="", WEEKDAY(B75,2)=7,VLOOKUP(B75,Feb!B:BA,49,FALSE)&gt;0),VLOOKUP(B75,Feb!B:BA,49,FALSE)*24,"")</f>
        <v/>
      </c>
      <c r="G75" s="16" t="str">
        <f>IF(AND(VLOOKUP(B75,Feb!B:BA,6,FALSE)="",VLOOKUP(B75,Feb!B:BA,46,FALSE)&gt;0),VLOOKUP(B75,Feb!B:BA,46,FALSE)*24,"")</f>
        <v/>
      </c>
      <c r="H75" s="36" t="str">
        <f>IF(AND(VLOOKUP(B75,Feb!B:BA,6,FALSE)="",VLOOKUP(B75,Feb!B:BA,50,FALSE)&gt;0),VLOOKUP(B75,Feb!B:BA,50,FALSE)*24,"")</f>
        <v/>
      </c>
      <c r="I75" s="30" t="str">
        <f>IF(AND(NETWORKDAYS(B75,B75,Feiertage)=1,VLOOKUP(B75,Feb!B:BA,6,FALSE)="U"),"Urlaub","")</f>
        <v/>
      </c>
      <c r="J75" s="34" t="str">
        <f ca="1">IF(AND(VLOOKUP(B75,Feb!B:BA,6,FALSE)="",VLOOKUP(B75,Feb!B:BA,22,FALSE)&lt;0),"Absetzen von","")</f>
        <v/>
      </c>
      <c r="K75" s="263"/>
      <c r="M75" s="316" t="str">
        <f ca="1">IF(VLOOKUP(B75,Feb!B:BA,22,FALSE)&lt;&gt;0,VLOOKUP(B75,Feb!B:BA,22,FALSE),"")</f>
        <v/>
      </c>
      <c r="N75" s="327"/>
    </row>
    <row r="76" spans="2:14" x14ac:dyDescent="0.25">
      <c r="B76" s="245">
        <f>Feb!F18</f>
        <v>42045</v>
      </c>
      <c r="C76" s="35">
        <f t="shared" si="1"/>
        <v>42045</v>
      </c>
      <c r="D76" s="17" t="str">
        <f>IF(AND(VLOOKUP(B76,Feb!B:BA,8,FALSE)&gt;0,VLOOKUP(B76,Feb!B:BA,6,FALSE)=""), CONCATENATE(TEXT(VLOOKUP(B76,Feb!B:BA,7,FALSE),"hh:mm"), "-", TEXT(VLOOKUP(B76,Feb!B:BA,8,FALSE),"[hh]:mm")," Uhr ", IF(VLOOKUP(B76,Feb!B:BA,12,FALSE)&gt;0, CONCATENATE("und ",TEXT(VLOOKUP(B76,Feb!B:BA,12,FALSE),"hh:mm"), "-", TEXT(VLOOKUP(B76,Feb!B:BA,13,FALSE),"[hh]:mm")," Uhr "),"")), IF(VLOOKUP(B76,Feb!B:BA,6,FALSE)="","",VLOOKUP(VLOOKUP(B76,Feb!B:BA,6,FALSE),Legende_Code,2,FALSE)))</f>
        <v/>
      </c>
      <c r="E76" s="16" t="str">
        <f>IF(AND(VLOOKUP(B76,Feb!B:BA,6,FALSE)="", WEEKDAY(B76,2)=6,VLOOKUP(B76,Feb!B:BA,48,FALSE)&gt;0),VLOOKUP(B76,Feb!B:BA,48,FALSE)*24,"")</f>
        <v/>
      </c>
      <c r="F76" s="16" t="str">
        <f>IF(AND(VLOOKUP(B76,Feb!B:BA,6,FALSE)="", WEEKDAY(B76,2)=7,VLOOKUP(B76,Feb!B:BA,49,FALSE)&gt;0),VLOOKUP(B76,Feb!B:BA,49,FALSE)*24,"")</f>
        <v/>
      </c>
      <c r="G76" s="16" t="str">
        <f>IF(AND(VLOOKUP(B76,Feb!B:BA,6,FALSE)="",VLOOKUP(B76,Feb!B:BA,46,FALSE)&gt;0),VLOOKUP(B76,Feb!B:BA,46,FALSE)*24,"")</f>
        <v/>
      </c>
      <c r="H76" s="36" t="str">
        <f>IF(AND(VLOOKUP(B76,Feb!B:BA,6,FALSE)="",VLOOKUP(B76,Feb!B:BA,50,FALSE)&gt;0),VLOOKUP(B76,Feb!B:BA,50,FALSE)*24,"")</f>
        <v/>
      </c>
      <c r="I76" s="30" t="str">
        <f>IF(AND(NETWORKDAYS(B76,B76,Feiertage)=1,VLOOKUP(B76,Feb!B:BA,6,FALSE)="U"),"Urlaub","")</f>
        <v/>
      </c>
      <c r="J76" s="34" t="str">
        <f ca="1">IF(AND(VLOOKUP(B76,Feb!B:BA,6,FALSE)="",VLOOKUP(B76,Feb!B:BA,22,FALSE)&lt;0),"Absetzen von","")</f>
        <v/>
      </c>
      <c r="K76" s="263"/>
      <c r="M76" s="316" t="str">
        <f ca="1">IF(VLOOKUP(B76,Feb!B:BA,22,FALSE)&lt;&gt;0,VLOOKUP(B76,Feb!B:BA,22,FALSE),"")</f>
        <v/>
      </c>
      <c r="N76" s="327"/>
    </row>
    <row r="77" spans="2:14" x14ac:dyDescent="0.25">
      <c r="B77" s="245">
        <f>Feb!F19</f>
        <v>42046</v>
      </c>
      <c r="C77" s="35">
        <f t="shared" si="1"/>
        <v>42046</v>
      </c>
      <c r="D77" s="17" t="str">
        <f>IF(AND(VLOOKUP(B77,Feb!B:BA,8,FALSE)&gt;0,VLOOKUP(B77,Feb!B:BA,6,FALSE)=""), CONCATENATE(TEXT(VLOOKUP(B77,Feb!B:BA,7,FALSE),"hh:mm"), "-", TEXT(VLOOKUP(B77,Feb!B:BA,8,FALSE),"[hh]:mm")," Uhr ", IF(VLOOKUP(B77,Feb!B:BA,12,FALSE)&gt;0, CONCATENATE("und ",TEXT(VLOOKUP(B77,Feb!B:BA,12,FALSE),"hh:mm"), "-", TEXT(VLOOKUP(B77,Feb!B:BA,13,FALSE),"[hh]:mm")," Uhr "),"")), IF(VLOOKUP(B77,Feb!B:BA,6,FALSE)="","",VLOOKUP(VLOOKUP(B77,Feb!B:BA,6,FALSE),Legende_Code,2,FALSE)))</f>
        <v/>
      </c>
      <c r="E77" s="16" t="str">
        <f>IF(AND(VLOOKUP(B77,Feb!B:BA,6,FALSE)="", WEEKDAY(B77,2)=6,VLOOKUP(B77,Feb!B:BA,48,FALSE)&gt;0),VLOOKUP(B77,Feb!B:BA,48,FALSE)*24,"")</f>
        <v/>
      </c>
      <c r="F77" s="16" t="str">
        <f>IF(AND(VLOOKUP(B77,Feb!B:BA,6,FALSE)="", WEEKDAY(B77,2)=7,VLOOKUP(B77,Feb!B:BA,49,FALSE)&gt;0),VLOOKUP(B77,Feb!B:BA,49,FALSE)*24,"")</f>
        <v/>
      </c>
      <c r="G77" s="16" t="str">
        <f>IF(AND(VLOOKUP(B77,Feb!B:BA,6,FALSE)="",VLOOKUP(B77,Feb!B:BA,46,FALSE)&gt;0),VLOOKUP(B77,Feb!B:BA,46,FALSE)*24,"")</f>
        <v/>
      </c>
      <c r="H77" s="36" t="str">
        <f>IF(AND(VLOOKUP(B77,Feb!B:BA,6,FALSE)="",VLOOKUP(B77,Feb!B:BA,50,FALSE)&gt;0),VLOOKUP(B77,Feb!B:BA,50,FALSE)*24,"")</f>
        <v/>
      </c>
      <c r="I77" s="30" t="str">
        <f>IF(AND(NETWORKDAYS(B77,B77,Feiertage)=1,VLOOKUP(B77,Feb!B:BA,6,FALSE)="U"),"Urlaub","")</f>
        <v/>
      </c>
      <c r="J77" s="34" t="str">
        <f ca="1">IF(AND(VLOOKUP(B77,Feb!B:BA,6,FALSE)="",VLOOKUP(B77,Feb!B:BA,22,FALSE)&lt;0),"Absetzen von","")</f>
        <v/>
      </c>
      <c r="K77" s="263"/>
      <c r="M77" s="316" t="str">
        <f ca="1">IF(VLOOKUP(B77,Feb!B:BA,22,FALSE)&lt;&gt;0,VLOOKUP(B77,Feb!B:BA,22,FALSE),"")</f>
        <v/>
      </c>
      <c r="N77" s="327"/>
    </row>
    <row r="78" spans="2:14" x14ac:dyDescent="0.25">
      <c r="B78" s="245">
        <f>Feb!F20</f>
        <v>42047</v>
      </c>
      <c r="C78" s="35">
        <f t="shared" si="1"/>
        <v>42047</v>
      </c>
      <c r="D78" s="17" t="str">
        <f>IF(AND(VLOOKUP(B78,Feb!B:BA,8,FALSE)&gt;0,VLOOKUP(B78,Feb!B:BA,6,FALSE)=""), CONCATENATE(TEXT(VLOOKUP(B78,Feb!B:BA,7,FALSE),"hh:mm"), "-", TEXT(VLOOKUP(B78,Feb!B:BA,8,FALSE),"[hh]:mm")," Uhr ", IF(VLOOKUP(B78,Feb!B:BA,12,FALSE)&gt;0, CONCATENATE("und ",TEXT(VLOOKUP(B78,Feb!B:BA,12,FALSE),"hh:mm"), "-", TEXT(VLOOKUP(B78,Feb!B:BA,13,FALSE),"[hh]:mm")," Uhr "),"")), IF(VLOOKUP(B78,Feb!B:BA,6,FALSE)="","",VLOOKUP(VLOOKUP(B78,Feb!B:BA,6,FALSE),Legende_Code,2,FALSE)))</f>
        <v/>
      </c>
      <c r="E78" s="16" t="str">
        <f>IF(AND(VLOOKUP(B78,Feb!B:BA,6,FALSE)="", WEEKDAY(B78,2)=6,VLOOKUP(B78,Feb!B:BA,48,FALSE)&gt;0),VLOOKUP(B78,Feb!B:BA,48,FALSE)*24,"")</f>
        <v/>
      </c>
      <c r="F78" s="16" t="str">
        <f>IF(AND(VLOOKUP(B78,Feb!B:BA,6,FALSE)="", WEEKDAY(B78,2)=7,VLOOKUP(B78,Feb!B:BA,49,FALSE)&gt;0),VLOOKUP(B78,Feb!B:BA,49,FALSE)*24,"")</f>
        <v/>
      </c>
      <c r="G78" s="16" t="str">
        <f>IF(AND(VLOOKUP(B78,Feb!B:BA,6,FALSE)="",VLOOKUP(B78,Feb!B:BA,46,FALSE)&gt;0),VLOOKUP(B78,Feb!B:BA,46,FALSE)*24,"")</f>
        <v/>
      </c>
      <c r="H78" s="36" t="str">
        <f>IF(AND(VLOOKUP(B78,Feb!B:BA,6,FALSE)="",VLOOKUP(B78,Feb!B:BA,50,FALSE)&gt;0),VLOOKUP(B78,Feb!B:BA,50,FALSE)*24,"")</f>
        <v/>
      </c>
      <c r="I78" s="30" t="str">
        <f>IF(AND(NETWORKDAYS(B78,B78,Feiertage)=1,VLOOKUP(B78,Feb!B:BA,6,FALSE)="U"),"Urlaub","")</f>
        <v/>
      </c>
      <c r="J78" s="34" t="str">
        <f ca="1">IF(AND(VLOOKUP(B78,Feb!B:BA,6,FALSE)="",VLOOKUP(B78,Feb!B:BA,22,FALSE)&lt;0),"Absetzen von","")</f>
        <v/>
      </c>
      <c r="K78" s="263"/>
      <c r="M78" s="316" t="str">
        <f ca="1">IF(VLOOKUP(B78,Feb!B:BA,22,FALSE)&lt;&gt;0,VLOOKUP(B78,Feb!B:BA,22,FALSE),"")</f>
        <v/>
      </c>
      <c r="N78" s="327"/>
    </row>
    <row r="79" spans="2:14" x14ac:dyDescent="0.25">
      <c r="B79" s="245">
        <f>Feb!F21</f>
        <v>42048</v>
      </c>
      <c r="C79" s="35">
        <f t="shared" si="1"/>
        <v>42048</v>
      </c>
      <c r="D79" s="17" t="str">
        <f>IF(AND(VLOOKUP(B79,Feb!B:BA,8,FALSE)&gt;0,VLOOKUP(B79,Feb!B:BA,6,FALSE)=""), CONCATENATE(TEXT(VLOOKUP(B79,Feb!B:BA,7,FALSE),"hh:mm"), "-", TEXT(VLOOKUP(B79,Feb!B:BA,8,FALSE),"[hh]:mm")," Uhr ", IF(VLOOKUP(B79,Feb!B:BA,12,FALSE)&gt;0, CONCATENATE("und ",TEXT(VLOOKUP(B79,Feb!B:BA,12,FALSE),"hh:mm"), "-", TEXT(VLOOKUP(B79,Feb!B:BA,13,FALSE),"[hh]:mm")," Uhr "),"")), IF(VLOOKUP(B79,Feb!B:BA,6,FALSE)="","",VLOOKUP(VLOOKUP(B79,Feb!B:BA,6,FALSE),Legende_Code,2,FALSE)))</f>
        <v/>
      </c>
      <c r="E79" s="16" t="str">
        <f>IF(AND(VLOOKUP(B79,Feb!B:BA,6,FALSE)="", WEEKDAY(B79,2)=6,VLOOKUP(B79,Feb!B:BA,48,FALSE)&gt;0),VLOOKUP(B79,Feb!B:BA,48,FALSE)*24,"")</f>
        <v/>
      </c>
      <c r="F79" s="16" t="str">
        <f>IF(AND(VLOOKUP(B79,Feb!B:BA,6,FALSE)="", WEEKDAY(B79,2)=7,VLOOKUP(B79,Feb!B:BA,49,FALSE)&gt;0),VLOOKUP(B79,Feb!B:BA,49,FALSE)*24,"")</f>
        <v/>
      </c>
      <c r="G79" s="16" t="str">
        <f>IF(AND(VLOOKUP(B79,Feb!B:BA,6,FALSE)="",VLOOKUP(B79,Feb!B:BA,46,FALSE)&gt;0),VLOOKUP(B79,Feb!B:BA,46,FALSE)*24,"")</f>
        <v/>
      </c>
      <c r="H79" s="36" t="str">
        <f>IF(AND(VLOOKUP(B79,Feb!B:BA,6,FALSE)="",VLOOKUP(B79,Feb!B:BA,50,FALSE)&gt;0),VLOOKUP(B79,Feb!B:BA,50,FALSE)*24,"")</f>
        <v/>
      </c>
      <c r="I79" s="30" t="str">
        <f>IF(AND(NETWORKDAYS(B79,B79,Feiertage)=1,VLOOKUP(B79,Feb!B:BA,6,FALSE)="U"),"Urlaub","")</f>
        <v/>
      </c>
      <c r="J79" s="34" t="str">
        <f ca="1">IF(AND(VLOOKUP(B79,Feb!B:BA,6,FALSE)="",VLOOKUP(B79,Feb!B:BA,22,FALSE)&lt;0),"Absetzen von","")</f>
        <v/>
      </c>
      <c r="K79" s="263"/>
      <c r="M79" s="316" t="str">
        <f ca="1">IF(VLOOKUP(B79,Feb!B:BA,22,FALSE)&lt;&gt;0,VLOOKUP(B79,Feb!B:BA,22,FALSE),"")</f>
        <v/>
      </c>
      <c r="N79" s="327"/>
    </row>
    <row r="80" spans="2:14" x14ac:dyDescent="0.25">
      <c r="B80" s="245">
        <f>Feb!F22</f>
        <v>42049</v>
      </c>
      <c r="C80" s="35">
        <f t="shared" si="1"/>
        <v>42049</v>
      </c>
      <c r="D80" s="17" t="str">
        <f>IF(AND(VLOOKUP(B80,Feb!B:BA,8,FALSE)&gt;0,VLOOKUP(B80,Feb!B:BA,6,FALSE)=""), CONCATENATE(TEXT(VLOOKUP(B80,Feb!B:BA,7,FALSE),"hh:mm"), "-", TEXT(VLOOKUP(B80,Feb!B:BA,8,FALSE),"[hh]:mm")," Uhr ", IF(VLOOKUP(B80,Feb!B:BA,12,FALSE)&gt;0, CONCATENATE("und ",TEXT(VLOOKUP(B80,Feb!B:BA,12,FALSE),"hh:mm"), "-", TEXT(VLOOKUP(B80,Feb!B:BA,13,FALSE),"[hh]:mm")," Uhr "),"")), IF(VLOOKUP(B80,Feb!B:BA,6,FALSE)="","",VLOOKUP(VLOOKUP(B80,Feb!B:BA,6,FALSE),Legende_Code,2,FALSE)))</f>
        <v/>
      </c>
      <c r="E80" s="16" t="str">
        <f>IF(AND(VLOOKUP(B80,Feb!B:BA,6,FALSE)="", WEEKDAY(B80,2)=6,VLOOKUP(B80,Feb!B:BA,48,FALSE)&gt;0),VLOOKUP(B80,Feb!B:BA,48,FALSE)*24,"")</f>
        <v/>
      </c>
      <c r="F80" s="16" t="str">
        <f>IF(AND(VLOOKUP(B80,Feb!B:BA,6,FALSE)="", WEEKDAY(B80,2)=7,VLOOKUP(B80,Feb!B:BA,49,FALSE)&gt;0),VLOOKUP(B80,Feb!B:BA,49,FALSE)*24,"")</f>
        <v/>
      </c>
      <c r="G80" s="16" t="str">
        <f>IF(AND(VLOOKUP(B80,Feb!B:BA,6,FALSE)="",VLOOKUP(B80,Feb!B:BA,46,FALSE)&gt;0),VLOOKUP(B80,Feb!B:BA,46,FALSE)*24,"")</f>
        <v/>
      </c>
      <c r="H80" s="36" t="str">
        <f>IF(AND(VLOOKUP(B80,Feb!B:BA,6,FALSE)="",VLOOKUP(B80,Feb!B:BA,50,FALSE)&gt;0),VLOOKUP(B80,Feb!B:BA,50,FALSE)*24,"")</f>
        <v/>
      </c>
      <c r="I80" s="30" t="str">
        <f>IF(AND(NETWORKDAYS(B80,B80,Feiertage)=1,VLOOKUP(B80,Feb!B:BA,6,FALSE)="U"),"Urlaub","")</f>
        <v/>
      </c>
      <c r="J80" s="34" t="str">
        <f ca="1">IF(AND(VLOOKUP(B80,Feb!B:BA,6,FALSE)="",VLOOKUP(B80,Feb!B:BA,22,FALSE)&lt;0),"Absetzen von","")</f>
        <v/>
      </c>
      <c r="K80" s="263"/>
      <c r="M80" s="316" t="str">
        <f ca="1">IF(VLOOKUP(B80,Feb!B:BA,22,FALSE)&lt;&gt;0,VLOOKUP(B80,Feb!B:BA,22,FALSE),"")</f>
        <v/>
      </c>
      <c r="N80" s="327"/>
    </row>
    <row r="81" spans="2:14" x14ac:dyDescent="0.25">
      <c r="B81" s="245">
        <f>Feb!F23</f>
        <v>42050</v>
      </c>
      <c r="C81" s="35">
        <f t="shared" si="1"/>
        <v>42050</v>
      </c>
      <c r="D81" s="17" t="str">
        <f>IF(AND(VLOOKUP(B81,Feb!B:BA,8,FALSE)&gt;0,VLOOKUP(B81,Feb!B:BA,6,FALSE)=""), CONCATENATE(TEXT(VLOOKUP(B81,Feb!B:BA,7,FALSE),"hh:mm"), "-", TEXT(VLOOKUP(B81,Feb!B:BA,8,FALSE),"[hh]:mm")," Uhr ", IF(VLOOKUP(B81,Feb!B:BA,12,FALSE)&gt;0, CONCATENATE("und ",TEXT(VLOOKUP(B81,Feb!B:BA,12,FALSE),"hh:mm"), "-", TEXT(VLOOKUP(B81,Feb!B:BA,13,FALSE),"[hh]:mm")," Uhr "),"")), IF(VLOOKUP(B81,Feb!B:BA,6,FALSE)="","",VLOOKUP(VLOOKUP(B81,Feb!B:BA,6,FALSE),Legende_Code,2,FALSE)))</f>
        <v/>
      </c>
      <c r="E81" s="16" t="str">
        <f>IF(AND(VLOOKUP(B81,Feb!B:BA,6,FALSE)="", WEEKDAY(B81,2)=6,VLOOKUP(B81,Feb!B:BA,48,FALSE)&gt;0),VLOOKUP(B81,Feb!B:BA,48,FALSE)*24,"")</f>
        <v/>
      </c>
      <c r="F81" s="16" t="str">
        <f>IF(AND(VLOOKUP(B81,Feb!B:BA,6,FALSE)="", WEEKDAY(B81,2)=7,VLOOKUP(B81,Feb!B:BA,49,FALSE)&gt;0),VLOOKUP(B81,Feb!B:BA,49,FALSE)*24,"")</f>
        <v/>
      </c>
      <c r="G81" s="16" t="str">
        <f>IF(AND(VLOOKUP(B81,Feb!B:BA,6,FALSE)="",VLOOKUP(B81,Feb!B:BA,46,FALSE)&gt;0),VLOOKUP(B81,Feb!B:BA,46,FALSE)*24,"")</f>
        <v/>
      </c>
      <c r="H81" s="36" t="str">
        <f>IF(AND(VLOOKUP(B81,Feb!B:BA,6,FALSE)="",VLOOKUP(B81,Feb!B:BA,50,FALSE)&gt;0),VLOOKUP(B81,Feb!B:BA,50,FALSE)*24,"")</f>
        <v/>
      </c>
      <c r="I81" s="30" t="str">
        <f>IF(AND(NETWORKDAYS(B81,B81,Feiertage)=1,VLOOKUP(B81,Feb!B:BA,6,FALSE)="U"),"Urlaub","")</f>
        <v/>
      </c>
      <c r="J81" s="34" t="str">
        <f ca="1">IF(AND(VLOOKUP(B81,Feb!B:BA,6,FALSE)="",VLOOKUP(B81,Feb!B:BA,22,FALSE)&lt;0),"Absetzen von","")</f>
        <v/>
      </c>
      <c r="K81" s="263"/>
      <c r="M81" s="316" t="str">
        <f ca="1">IF(VLOOKUP(B81,Feb!B:BA,22,FALSE)&lt;&gt;0,VLOOKUP(B81,Feb!B:BA,22,FALSE),"")</f>
        <v/>
      </c>
      <c r="N81" s="327"/>
    </row>
    <row r="82" spans="2:14" x14ac:dyDescent="0.25">
      <c r="B82" s="245">
        <f>Feb!F24</f>
        <v>42051</v>
      </c>
      <c r="C82" s="35">
        <f t="shared" si="1"/>
        <v>42051</v>
      </c>
      <c r="D82" s="17" t="str">
        <f>IF(AND(VLOOKUP(B82,Feb!B:BA,8,FALSE)&gt;0,VLOOKUP(B82,Feb!B:BA,6,FALSE)=""), CONCATENATE(TEXT(VLOOKUP(B82,Feb!B:BA,7,FALSE),"hh:mm"), "-", TEXT(VLOOKUP(B82,Feb!B:BA,8,FALSE),"[hh]:mm")," Uhr ", IF(VLOOKUP(B82,Feb!B:BA,12,FALSE)&gt;0, CONCATENATE("und ",TEXT(VLOOKUP(B82,Feb!B:BA,12,FALSE),"hh:mm"), "-", TEXT(VLOOKUP(B82,Feb!B:BA,13,FALSE),"[hh]:mm")," Uhr "),"")), IF(VLOOKUP(B82,Feb!B:BA,6,FALSE)="","",VLOOKUP(VLOOKUP(B82,Feb!B:BA,6,FALSE),Legende_Code,2,FALSE)))</f>
        <v/>
      </c>
      <c r="E82" s="16" t="str">
        <f>IF(AND(VLOOKUP(B82,Feb!B:BA,6,FALSE)="", WEEKDAY(B82,2)=6,VLOOKUP(B82,Feb!B:BA,48,FALSE)&gt;0),VLOOKUP(B82,Feb!B:BA,48,FALSE)*24,"")</f>
        <v/>
      </c>
      <c r="F82" s="16" t="str">
        <f>IF(AND(VLOOKUP(B82,Feb!B:BA,6,FALSE)="", WEEKDAY(B82,2)=7,VLOOKUP(B82,Feb!B:BA,49,FALSE)&gt;0),VLOOKUP(B82,Feb!B:BA,49,FALSE)*24,"")</f>
        <v/>
      </c>
      <c r="G82" s="16" t="str">
        <f>IF(AND(VLOOKUP(B82,Feb!B:BA,6,FALSE)="",VLOOKUP(B82,Feb!B:BA,46,FALSE)&gt;0),VLOOKUP(B82,Feb!B:BA,46,FALSE)*24,"")</f>
        <v/>
      </c>
      <c r="H82" s="36" t="str">
        <f>IF(AND(VLOOKUP(B82,Feb!B:BA,6,FALSE)="",VLOOKUP(B82,Feb!B:BA,50,FALSE)&gt;0),VLOOKUP(B82,Feb!B:BA,50,FALSE)*24,"")</f>
        <v/>
      </c>
      <c r="I82" s="30" t="str">
        <f>IF(AND(NETWORKDAYS(B82,B82,Feiertage)=1,VLOOKUP(B82,Feb!B:BA,6,FALSE)="U"),"Urlaub","")</f>
        <v/>
      </c>
      <c r="J82" s="34" t="str">
        <f ca="1">IF(AND(VLOOKUP(B82,Feb!B:BA,6,FALSE)="",VLOOKUP(B82,Feb!B:BA,22,FALSE)&lt;0),"Absetzen von","")</f>
        <v/>
      </c>
      <c r="K82" s="263"/>
      <c r="M82" s="316" t="str">
        <f ca="1">IF(VLOOKUP(B82,Feb!B:BA,22,FALSE)&lt;&gt;0,VLOOKUP(B82,Feb!B:BA,22,FALSE),"")</f>
        <v/>
      </c>
      <c r="N82" s="327"/>
    </row>
    <row r="83" spans="2:14" x14ac:dyDescent="0.25">
      <c r="B83" s="245">
        <f>Feb!F25</f>
        <v>42052</v>
      </c>
      <c r="C83" s="35">
        <f t="shared" si="1"/>
        <v>42052</v>
      </c>
      <c r="D83" s="17" t="str">
        <f>IF(AND(VLOOKUP(B83,Feb!B:BA,8,FALSE)&gt;0,VLOOKUP(B83,Feb!B:BA,6,FALSE)=""), CONCATENATE(TEXT(VLOOKUP(B83,Feb!B:BA,7,FALSE),"hh:mm"), "-", TEXT(VLOOKUP(B83,Feb!B:BA,8,FALSE),"[hh]:mm")," Uhr ", IF(VLOOKUP(B83,Feb!B:BA,12,FALSE)&gt;0, CONCATENATE("und ",TEXT(VLOOKUP(B83,Feb!B:BA,12,FALSE),"hh:mm"), "-", TEXT(VLOOKUP(B83,Feb!B:BA,13,FALSE),"[hh]:mm")," Uhr "),"")), IF(VLOOKUP(B83,Feb!B:BA,6,FALSE)="","",VLOOKUP(VLOOKUP(B83,Feb!B:BA,6,FALSE),Legende_Code,2,FALSE)))</f>
        <v/>
      </c>
      <c r="E83" s="16" t="str">
        <f>IF(AND(VLOOKUP(B83,Feb!B:BA,6,FALSE)="", WEEKDAY(B83,2)=6,VLOOKUP(B83,Feb!B:BA,48,FALSE)&gt;0),VLOOKUP(B83,Feb!B:BA,48,FALSE)*24,"")</f>
        <v/>
      </c>
      <c r="F83" s="16" t="str">
        <f>IF(AND(VLOOKUP(B83,Feb!B:BA,6,FALSE)="", WEEKDAY(B83,2)=7,VLOOKUP(B83,Feb!B:BA,49,FALSE)&gt;0),VLOOKUP(B83,Feb!B:BA,49,FALSE)*24,"")</f>
        <v/>
      </c>
      <c r="G83" s="16" t="str">
        <f>IF(AND(VLOOKUP(B83,Feb!B:BA,6,FALSE)="",VLOOKUP(B83,Feb!B:BA,46,FALSE)&gt;0),VLOOKUP(B83,Feb!B:BA,46,FALSE)*24,"")</f>
        <v/>
      </c>
      <c r="H83" s="36" t="str">
        <f>IF(AND(VLOOKUP(B83,Feb!B:BA,6,FALSE)="",VLOOKUP(B83,Feb!B:BA,50,FALSE)&gt;0),VLOOKUP(B83,Feb!B:BA,50,FALSE)*24,"")</f>
        <v/>
      </c>
      <c r="I83" s="30" t="str">
        <f>IF(AND(NETWORKDAYS(B83,B83,Feiertage)=1,VLOOKUP(B83,Feb!B:BA,6,FALSE)="U"),"Urlaub","")</f>
        <v/>
      </c>
      <c r="J83" s="34" t="str">
        <f ca="1">IF(AND(VLOOKUP(B83,Feb!B:BA,6,FALSE)="",VLOOKUP(B83,Feb!B:BA,22,FALSE)&lt;0),"Absetzen von","")</f>
        <v/>
      </c>
      <c r="K83" s="263"/>
      <c r="M83" s="316" t="str">
        <f ca="1">IF(VLOOKUP(B83,Feb!B:BA,22,FALSE)&lt;&gt;0,VLOOKUP(B83,Feb!B:BA,22,FALSE),"")</f>
        <v/>
      </c>
      <c r="N83" s="327"/>
    </row>
    <row r="84" spans="2:14" x14ac:dyDescent="0.25">
      <c r="B84" s="245">
        <f>Feb!F26</f>
        <v>42053</v>
      </c>
      <c r="C84" s="35">
        <f t="shared" si="1"/>
        <v>42053</v>
      </c>
      <c r="D84" s="17" t="str">
        <f>IF(AND(VLOOKUP(B84,Feb!B:BA,8,FALSE)&gt;0,VLOOKUP(B84,Feb!B:BA,6,FALSE)=""), CONCATENATE(TEXT(VLOOKUP(B84,Feb!B:BA,7,FALSE),"hh:mm"), "-", TEXT(VLOOKUP(B84,Feb!B:BA,8,FALSE),"[hh]:mm")," Uhr ", IF(VLOOKUP(B84,Feb!B:BA,12,FALSE)&gt;0, CONCATENATE("und ",TEXT(VLOOKUP(B84,Feb!B:BA,12,FALSE),"hh:mm"), "-", TEXT(VLOOKUP(B84,Feb!B:BA,13,FALSE),"[hh]:mm")," Uhr "),"")), IF(VLOOKUP(B84,Feb!B:BA,6,FALSE)="","",VLOOKUP(VLOOKUP(B84,Feb!B:BA,6,FALSE),Legende_Code,2,FALSE)))</f>
        <v/>
      </c>
      <c r="E84" s="16" t="str">
        <f>IF(AND(VLOOKUP(B84,Feb!B:BA,6,FALSE)="", WEEKDAY(B84,2)=6,VLOOKUP(B84,Feb!B:BA,48,FALSE)&gt;0),VLOOKUP(B84,Feb!B:BA,48,FALSE)*24,"")</f>
        <v/>
      </c>
      <c r="F84" s="16" t="str">
        <f>IF(AND(VLOOKUP(B84,Feb!B:BA,6,FALSE)="", WEEKDAY(B84,2)=7,VLOOKUP(B84,Feb!B:BA,49,FALSE)&gt;0),VLOOKUP(B84,Feb!B:BA,49,FALSE)*24,"")</f>
        <v/>
      </c>
      <c r="G84" s="16" t="str">
        <f>IF(AND(VLOOKUP(B84,Feb!B:BA,6,FALSE)="",VLOOKUP(B84,Feb!B:BA,46,FALSE)&gt;0),VLOOKUP(B84,Feb!B:BA,46,FALSE)*24,"")</f>
        <v/>
      </c>
      <c r="H84" s="36" t="str">
        <f>IF(AND(VLOOKUP(B84,Feb!B:BA,6,FALSE)="",VLOOKUP(B84,Feb!B:BA,50,FALSE)&gt;0),VLOOKUP(B84,Feb!B:BA,50,FALSE)*24,"")</f>
        <v/>
      </c>
      <c r="I84" s="30" t="str">
        <f>IF(AND(NETWORKDAYS(B84,B84,Feiertage)=1,VLOOKUP(B84,Feb!B:BA,6,FALSE)="U"),"Urlaub","")</f>
        <v/>
      </c>
      <c r="J84" s="34" t="str">
        <f ca="1">IF(AND(VLOOKUP(B84,Feb!B:BA,6,FALSE)="",VLOOKUP(B84,Feb!B:BA,22,FALSE)&lt;0),"Absetzen von","")</f>
        <v/>
      </c>
      <c r="K84" s="263"/>
      <c r="M84" s="316" t="str">
        <f ca="1">IF(VLOOKUP(B84,Feb!B:BA,22,FALSE)&lt;&gt;0,VLOOKUP(B84,Feb!B:BA,22,FALSE),"")</f>
        <v/>
      </c>
      <c r="N84" s="327"/>
    </row>
    <row r="85" spans="2:14" x14ac:dyDescent="0.25">
      <c r="B85" s="245">
        <f>Feb!F27</f>
        <v>42054</v>
      </c>
      <c r="C85" s="35">
        <f t="shared" si="1"/>
        <v>42054</v>
      </c>
      <c r="D85" s="17" t="str">
        <f>IF(AND(VLOOKUP(B85,Feb!B:BA,8,FALSE)&gt;0,VLOOKUP(B85,Feb!B:BA,6,FALSE)=""), CONCATENATE(TEXT(VLOOKUP(B85,Feb!B:BA,7,FALSE),"hh:mm"), "-", TEXT(VLOOKUP(B85,Feb!B:BA,8,FALSE),"[hh]:mm")," Uhr ", IF(VLOOKUP(B85,Feb!B:BA,12,FALSE)&gt;0, CONCATENATE("und ",TEXT(VLOOKUP(B85,Feb!B:BA,12,FALSE),"hh:mm"), "-", TEXT(VLOOKUP(B85,Feb!B:BA,13,FALSE),"[hh]:mm")," Uhr "),"")), IF(VLOOKUP(B85,Feb!B:BA,6,FALSE)="","",VLOOKUP(VLOOKUP(B85,Feb!B:BA,6,FALSE),Legende_Code,2,FALSE)))</f>
        <v/>
      </c>
      <c r="E85" s="16" t="str">
        <f>IF(AND(VLOOKUP(B85,Feb!B:BA,6,FALSE)="", WEEKDAY(B85,2)=6,VLOOKUP(B85,Feb!B:BA,48,FALSE)&gt;0),VLOOKUP(B85,Feb!B:BA,48,FALSE)*24,"")</f>
        <v/>
      </c>
      <c r="F85" s="16" t="str">
        <f>IF(AND(VLOOKUP(B85,Feb!B:BA,6,FALSE)="", WEEKDAY(B85,2)=7,VLOOKUP(B85,Feb!B:BA,49,FALSE)&gt;0),VLOOKUP(B85,Feb!B:BA,49,FALSE)*24,"")</f>
        <v/>
      </c>
      <c r="G85" s="16" t="str">
        <f>IF(AND(VLOOKUP(B85,Feb!B:BA,6,FALSE)="",VLOOKUP(B85,Feb!B:BA,46,FALSE)&gt;0),VLOOKUP(B85,Feb!B:BA,46,FALSE)*24,"")</f>
        <v/>
      </c>
      <c r="H85" s="36" t="str">
        <f>IF(AND(VLOOKUP(B85,Feb!B:BA,6,FALSE)="",VLOOKUP(B85,Feb!B:BA,50,FALSE)&gt;0),VLOOKUP(B85,Feb!B:BA,50,FALSE)*24,"")</f>
        <v/>
      </c>
      <c r="I85" s="30" t="str">
        <f>IF(AND(NETWORKDAYS(B85,B85,Feiertage)=1,VLOOKUP(B85,Feb!B:BA,6,FALSE)="U"),"Urlaub","")</f>
        <v/>
      </c>
      <c r="J85" s="34" t="str">
        <f ca="1">IF(AND(VLOOKUP(B85,Feb!B:BA,6,FALSE)="",VLOOKUP(B85,Feb!B:BA,22,FALSE)&lt;0),"Absetzen von","")</f>
        <v/>
      </c>
      <c r="K85" s="263"/>
      <c r="M85" s="316" t="str">
        <f ca="1">IF(VLOOKUP(B85,Feb!B:BA,22,FALSE)&lt;&gt;0,VLOOKUP(B85,Feb!B:BA,22,FALSE),"")</f>
        <v/>
      </c>
      <c r="N85" s="327"/>
    </row>
    <row r="86" spans="2:14" x14ac:dyDescent="0.25">
      <c r="B86" s="245">
        <f>Feb!F28</f>
        <v>42055</v>
      </c>
      <c r="C86" s="35">
        <f t="shared" si="1"/>
        <v>42055</v>
      </c>
      <c r="D86" s="17" t="str">
        <f>IF(AND(VLOOKUP(B86,Feb!B:BA,8,FALSE)&gt;0,VLOOKUP(B86,Feb!B:BA,6,FALSE)=""), CONCATENATE(TEXT(VLOOKUP(B86,Feb!B:BA,7,FALSE),"hh:mm"), "-", TEXT(VLOOKUP(B86,Feb!B:BA,8,FALSE),"[hh]:mm")," Uhr ", IF(VLOOKUP(B86,Feb!B:BA,12,FALSE)&gt;0, CONCATENATE("und ",TEXT(VLOOKUP(B86,Feb!B:BA,12,FALSE),"hh:mm"), "-", TEXT(VLOOKUP(B86,Feb!B:BA,13,FALSE),"[hh]:mm")," Uhr "),"")), IF(VLOOKUP(B86,Feb!B:BA,6,FALSE)="","",VLOOKUP(VLOOKUP(B86,Feb!B:BA,6,FALSE),Legende_Code,2,FALSE)))</f>
        <v/>
      </c>
      <c r="E86" s="16" t="str">
        <f>IF(AND(VLOOKUP(B86,Feb!B:BA,6,FALSE)="", WEEKDAY(B86,2)=6,VLOOKUP(B86,Feb!B:BA,48,FALSE)&gt;0),VLOOKUP(B86,Feb!B:BA,48,FALSE)*24,"")</f>
        <v/>
      </c>
      <c r="F86" s="16" t="str">
        <f>IF(AND(VLOOKUP(B86,Feb!B:BA,6,FALSE)="", WEEKDAY(B86,2)=7,VLOOKUP(B86,Feb!B:BA,49,FALSE)&gt;0),VLOOKUP(B86,Feb!B:BA,49,FALSE)*24,"")</f>
        <v/>
      </c>
      <c r="G86" s="16" t="str">
        <f>IF(AND(VLOOKUP(B86,Feb!B:BA,6,FALSE)="",VLOOKUP(B86,Feb!B:BA,46,FALSE)&gt;0),VLOOKUP(B86,Feb!B:BA,46,FALSE)*24,"")</f>
        <v/>
      </c>
      <c r="H86" s="36" t="str">
        <f>IF(AND(VLOOKUP(B86,Feb!B:BA,6,FALSE)="",VLOOKUP(B86,Feb!B:BA,50,FALSE)&gt;0),VLOOKUP(B86,Feb!B:BA,50,FALSE)*24,"")</f>
        <v/>
      </c>
      <c r="I86" s="30" t="str">
        <f>IF(AND(NETWORKDAYS(B86,B86,Feiertage)=1,VLOOKUP(B86,Feb!B:BA,6,FALSE)="U"),"Urlaub","")</f>
        <v/>
      </c>
      <c r="J86" s="34" t="str">
        <f ca="1">IF(AND(VLOOKUP(B86,Feb!B:BA,6,FALSE)="",VLOOKUP(B86,Feb!B:BA,22,FALSE)&lt;0),"Absetzen von","")</f>
        <v/>
      </c>
      <c r="K86" s="263"/>
      <c r="M86" s="316" t="str">
        <f ca="1">IF(VLOOKUP(B86,Feb!B:BA,22,FALSE)&lt;&gt;0,VLOOKUP(B86,Feb!B:BA,22,FALSE),"")</f>
        <v/>
      </c>
      <c r="N86" s="327"/>
    </row>
    <row r="87" spans="2:14" x14ac:dyDescent="0.25">
      <c r="B87" s="245">
        <f>Feb!F29</f>
        <v>42056</v>
      </c>
      <c r="C87" s="35">
        <f t="shared" si="1"/>
        <v>42056</v>
      </c>
      <c r="D87" s="17" t="str">
        <f>IF(AND(VLOOKUP(B87,Feb!B:BA,8,FALSE)&gt;0,VLOOKUP(B87,Feb!B:BA,6,FALSE)=""), CONCATENATE(TEXT(VLOOKUP(B87,Feb!B:BA,7,FALSE),"hh:mm"), "-", TEXT(VLOOKUP(B87,Feb!B:BA,8,FALSE),"[hh]:mm")," Uhr ", IF(VLOOKUP(B87,Feb!B:BA,12,FALSE)&gt;0, CONCATENATE("und ",TEXT(VLOOKUP(B87,Feb!B:BA,12,FALSE),"hh:mm"), "-", TEXT(VLOOKUP(B87,Feb!B:BA,13,FALSE),"[hh]:mm")," Uhr "),"")), IF(VLOOKUP(B87,Feb!B:BA,6,FALSE)="","",VLOOKUP(VLOOKUP(B87,Feb!B:BA,6,FALSE),Legende_Code,2,FALSE)))</f>
        <v/>
      </c>
      <c r="E87" s="16" t="str">
        <f>IF(AND(VLOOKUP(B87,Feb!B:BA,6,FALSE)="", WEEKDAY(B87,2)=6,VLOOKUP(B87,Feb!B:BA,48,FALSE)&gt;0),VLOOKUP(B87,Feb!B:BA,48,FALSE)*24,"")</f>
        <v/>
      </c>
      <c r="F87" s="16" t="str">
        <f>IF(AND(VLOOKUP(B87,Feb!B:BA,6,FALSE)="", WEEKDAY(B87,2)=7,VLOOKUP(B87,Feb!B:BA,49,FALSE)&gt;0),VLOOKUP(B87,Feb!B:BA,49,FALSE)*24,"")</f>
        <v/>
      </c>
      <c r="G87" s="16" t="str">
        <f>IF(AND(VLOOKUP(B87,Feb!B:BA,6,FALSE)="",VLOOKUP(B87,Feb!B:BA,46,FALSE)&gt;0),VLOOKUP(B87,Feb!B:BA,46,FALSE)*24,"")</f>
        <v/>
      </c>
      <c r="H87" s="36" t="str">
        <f>IF(AND(VLOOKUP(B87,Feb!B:BA,6,FALSE)="",VLOOKUP(B87,Feb!B:BA,50,FALSE)&gt;0),VLOOKUP(B87,Feb!B:BA,50,FALSE)*24,"")</f>
        <v/>
      </c>
      <c r="I87" s="30" t="str">
        <f>IF(AND(NETWORKDAYS(B87,B87,Feiertage)=1,VLOOKUP(B87,Feb!B:BA,6,FALSE)="U"),"Urlaub","")</f>
        <v/>
      </c>
      <c r="J87" s="34" t="str">
        <f ca="1">IF(AND(VLOOKUP(B87,Feb!B:BA,6,FALSE)="",VLOOKUP(B87,Feb!B:BA,22,FALSE)&lt;0),"Absetzen von","")</f>
        <v/>
      </c>
      <c r="K87" s="263"/>
      <c r="M87" s="316" t="str">
        <f ca="1">IF(VLOOKUP(B87,Feb!B:BA,22,FALSE)&lt;&gt;0,VLOOKUP(B87,Feb!B:BA,22,FALSE),"")</f>
        <v/>
      </c>
      <c r="N87" s="327"/>
    </row>
    <row r="88" spans="2:14" x14ac:dyDescent="0.25">
      <c r="B88" s="245">
        <f>Feb!F30</f>
        <v>42057</v>
      </c>
      <c r="C88" s="35">
        <f t="shared" si="1"/>
        <v>42057</v>
      </c>
      <c r="D88" s="17" t="str">
        <f>IF(AND(VLOOKUP(B88,Feb!B:BA,8,FALSE)&gt;0,VLOOKUP(B88,Feb!B:BA,6,FALSE)=""), CONCATENATE(TEXT(VLOOKUP(B88,Feb!B:BA,7,FALSE),"hh:mm"), "-", TEXT(VLOOKUP(B88,Feb!B:BA,8,FALSE),"[hh]:mm")," Uhr ", IF(VLOOKUP(B88,Feb!B:BA,12,FALSE)&gt;0, CONCATENATE("und ",TEXT(VLOOKUP(B88,Feb!B:BA,12,FALSE),"hh:mm"), "-", TEXT(VLOOKUP(B88,Feb!B:BA,13,FALSE),"[hh]:mm")," Uhr "),"")), IF(VLOOKUP(B88,Feb!B:BA,6,FALSE)="","",VLOOKUP(VLOOKUP(B88,Feb!B:BA,6,FALSE),Legende_Code,2,FALSE)))</f>
        <v/>
      </c>
      <c r="E88" s="16" t="str">
        <f>IF(AND(VLOOKUP(B88,Feb!B:BA,6,FALSE)="", WEEKDAY(B88,2)=6,VLOOKUP(B88,Feb!B:BA,48,FALSE)&gt;0),VLOOKUP(B88,Feb!B:BA,48,FALSE)*24,"")</f>
        <v/>
      </c>
      <c r="F88" s="16" t="str">
        <f>IF(AND(VLOOKUP(B88,Feb!B:BA,6,FALSE)="", WEEKDAY(B88,2)=7,VLOOKUP(B88,Feb!B:BA,49,FALSE)&gt;0),VLOOKUP(B88,Feb!B:BA,49,FALSE)*24,"")</f>
        <v/>
      </c>
      <c r="G88" s="16" t="str">
        <f>IF(AND(VLOOKUP(B88,Feb!B:BA,6,FALSE)="",VLOOKUP(B88,Feb!B:BA,46,FALSE)&gt;0),VLOOKUP(B88,Feb!B:BA,46,FALSE)*24,"")</f>
        <v/>
      </c>
      <c r="H88" s="36" t="str">
        <f>IF(AND(VLOOKUP(B88,Feb!B:BA,6,FALSE)="",VLOOKUP(B88,Feb!B:BA,50,FALSE)&gt;0),VLOOKUP(B88,Feb!B:BA,50,FALSE)*24,"")</f>
        <v/>
      </c>
      <c r="I88" s="30" t="str">
        <f>IF(AND(NETWORKDAYS(B88,B88,Feiertage)=1,VLOOKUP(B88,Feb!B:BA,6,FALSE)="U"),"Urlaub","")</f>
        <v/>
      </c>
      <c r="J88" s="34" t="str">
        <f ca="1">IF(AND(VLOOKUP(B88,Feb!B:BA,6,FALSE)="",VLOOKUP(B88,Feb!B:BA,22,FALSE)&lt;0),"Absetzen von","")</f>
        <v/>
      </c>
      <c r="K88" s="263"/>
      <c r="M88" s="316" t="str">
        <f ca="1">IF(VLOOKUP(B88,Feb!B:BA,22,FALSE)&lt;&gt;0,VLOOKUP(B88,Feb!B:BA,22,FALSE),"")</f>
        <v/>
      </c>
      <c r="N88" s="327"/>
    </row>
    <row r="89" spans="2:14" x14ac:dyDescent="0.25">
      <c r="B89" s="245">
        <f>Feb!F31</f>
        <v>42058</v>
      </c>
      <c r="C89" s="35">
        <f t="shared" si="1"/>
        <v>42058</v>
      </c>
      <c r="D89" s="17" t="str">
        <f>IF(AND(VLOOKUP(B89,Feb!B:BA,8,FALSE)&gt;0,VLOOKUP(B89,Feb!B:BA,6,FALSE)=""), CONCATENATE(TEXT(VLOOKUP(B89,Feb!B:BA,7,FALSE),"hh:mm"), "-", TEXT(VLOOKUP(B89,Feb!B:BA,8,FALSE),"[hh]:mm")," Uhr ", IF(VLOOKUP(B89,Feb!B:BA,12,FALSE)&gt;0, CONCATENATE("und ",TEXT(VLOOKUP(B89,Feb!B:BA,12,FALSE),"hh:mm"), "-", TEXT(VLOOKUP(B89,Feb!B:BA,13,FALSE),"[hh]:mm")," Uhr "),"")), IF(VLOOKUP(B89,Feb!B:BA,6,FALSE)="","",VLOOKUP(VLOOKUP(B89,Feb!B:BA,6,FALSE),Legende_Code,2,FALSE)))</f>
        <v/>
      </c>
      <c r="E89" s="16" t="str">
        <f>IF(AND(VLOOKUP(B89,Feb!B:BA,6,FALSE)="", WEEKDAY(B89,2)=6,VLOOKUP(B89,Feb!B:BA,48,FALSE)&gt;0),VLOOKUP(B89,Feb!B:BA,48,FALSE)*24,"")</f>
        <v/>
      </c>
      <c r="F89" s="16" t="str">
        <f>IF(AND(VLOOKUP(B89,Feb!B:BA,6,FALSE)="", WEEKDAY(B89,2)=7,VLOOKUP(B89,Feb!B:BA,49,FALSE)&gt;0),VLOOKUP(B89,Feb!B:BA,49,FALSE)*24,"")</f>
        <v/>
      </c>
      <c r="G89" s="16" t="str">
        <f>IF(AND(VLOOKUP(B89,Feb!B:BA,6,FALSE)="",VLOOKUP(B89,Feb!B:BA,46,FALSE)&gt;0),VLOOKUP(B89,Feb!B:BA,46,FALSE)*24,"")</f>
        <v/>
      </c>
      <c r="H89" s="36" t="str">
        <f>IF(AND(VLOOKUP(B89,Feb!B:BA,6,FALSE)="",VLOOKUP(B89,Feb!B:BA,50,FALSE)&gt;0),VLOOKUP(B89,Feb!B:BA,50,FALSE)*24,"")</f>
        <v/>
      </c>
      <c r="I89" s="30" t="str">
        <f>IF(AND(NETWORKDAYS(B89,B89,Feiertage)=1,VLOOKUP(B89,Feb!B:BA,6,FALSE)="U"),"Urlaub","")</f>
        <v/>
      </c>
      <c r="J89" s="34" t="str">
        <f ca="1">IF(AND(VLOOKUP(B89,Feb!B:BA,6,FALSE)="",VLOOKUP(B89,Feb!B:BA,22,FALSE)&lt;0),"Absetzen von","")</f>
        <v/>
      </c>
      <c r="K89" s="263"/>
      <c r="M89" s="316" t="str">
        <f ca="1">IF(VLOOKUP(B89,Feb!B:BA,22,FALSE)&lt;&gt;0,VLOOKUP(B89,Feb!B:BA,22,FALSE),"")</f>
        <v/>
      </c>
      <c r="N89" s="327"/>
    </row>
    <row r="90" spans="2:14" x14ac:dyDescent="0.25">
      <c r="B90" s="245">
        <f>Feb!F32</f>
        <v>42059</v>
      </c>
      <c r="C90" s="35">
        <f t="shared" si="1"/>
        <v>42059</v>
      </c>
      <c r="D90" s="17" t="str">
        <f>IF(AND(VLOOKUP(B90,Feb!B:BA,8,FALSE)&gt;0,VLOOKUP(B90,Feb!B:BA,6,FALSE)=""), CONCATENATE(TEXT(VLOOKUP(B90,Feb!B:BA,7,FALSE),"hh:mm"), "-", TEXT(VLOOKUP(B90,Feb!B:BA,8,FALSE),"[hh]:mm")," Uhr ", IF(VLOOKUP(B90,Feb!B:BA,12,FALSE)&gt;0, CONCATENATE("und ",TEXT(VLOOKUP(B90,Feb!B:BA,12,FALSE),"hh:mm"), "-", TEXT(VLOOKUP(B90,Feb!B:BA,13,FALSE),"[hh]:mm")," Uhr "),"")), IF(VLOOKUP(B90,Feb!B:BA,6,FALSE)="","",VLOOKUP(VLOOKUP(B90,Feb!B:BA,6,FALSE),Legende_Code,2,FALSE)))</f>
        <v/>
      </c>
      <c r="E90" s="16" t="str">
        <f>IF(AND(VLOOKUP(B90,Feb!B:BA,6,FALSE)="", WEEKDAY(B90,2)=6,VLOOKUP(B90,Feb!B:BA,48,FALSE)&gt;0),VLOOKUP(B90,Feb!B:BA,48,FALSE)*24,"")</f>
        <v/>
      </c>
      <c r="F90" s="16" t="str">
        <f>IF(AND(VLOOKUP(B90,Feb!B:BA,6,FALSE)="", WEEKDAY(B90,2)=7,VLOOKUP(B90,Feb!B:BA,49,FALSE)&gt;0),VLOOKUP(B90,Feb!B:BA,49,FALSE)*24,"")</f>
        <v/>
      </c>
      <c r="G90" s="16" t="str">
        <f>IF(AND(VLOOKUP(B90,Feb!B:BA,6,FALSE)="",VLOOKUP(B90,Feb!B:BA,46,FALSE)&gt;0),VLOOKUP(B90,Feb!B:BA,46,FALSE)*24,"")</f>
        <v/>
      </c>
      <c r="H90" s="36" t="str">
        <f>IF(AND(VLOOKUP(B90,Feb!B:BA,6,FALSE)="",VLOOKUP(B90,Feb!B:BA,50,FALSE)&gt;0),VLOOKUP(B90,Feb!B:BA,50,FALSE)*24,"")</f>
        <v/>
      </c>
      <c r="I90" s="30" t="str">
        <f>IF(AND(NETWORKDAYS(B90,B90,Feiertage)=1,VLOOKUP(B90,Feb!B:BA,6,FALSE)="U"),"Urlaub","")</f>
        <v/>
      </c>
      <c r="J90" s="34" t="str">
        <f ca="1">IF(AND(VLOOKUP(B90,Feb!B:BA,6,FALSE)="",VLOOKUP(B90,Feb!B:BA,22,FALSE)&lt;0),"Absetzen von","")</f>
        <v/>
      </c>
      <c r="K90" s="263"/>
      <c r="M90" s="316" t="str">
        <f ca="1">IF(VLOOKUP(B90,Feb!B:BA,22,FALSE)&lt;&gt;0,VLOOKUP(B90,Feb!B:BA,22,FALSE),"")</f>
        <v/>
      </c>
      <c r="N90" s="327"/>
    </row>
    <row r="91" spans="2:14" x14ac:dyDescent="0.25">
      <c r="B91" s="245">
        <f>Feb!F33</f>
        <v>42060</v>
      </c>
      <c r="C91" s="35">
        <f t="shared" si="1"/>
        <v>42060</v>
      </c>
      <c r="D91" s="17" t="str">
        <f>IF(AND(VLOOKUP(B91,Feb!B:BA,8,FALSE)&gt;0,VLOOKUP(B91,Feb!B:BA,6,FALSE)=""), CONCATENATE(TEXT(VLOOKUP(B91,Feb!B:BA,7,FALSE),"hh:mm"), "-", TEXT(VLOOKUP(B91,Feb!B:BA,8,FALSE),"[hh]:mm")," Uhr ", IF(VLOOKUP(B91,Feb!B:BA,12,FALSE)&gt;0, CONCATENATE("und ",TEXT(VLOOKUP(B91,Feb!B:BA,12,FALSE),"hh:mm"), "-", TEXT(VLOOKUP(B91,Feb!B:BA,13,FALSE),"[hh]:mm")," Uhr "),"")), IF(VLOOKUP(B91,Feb!B:BA,6,FALSE)="","",VLOOKUP(VLOOKUP(B91,Feb!B:BA,6,FALSE),Legende_Code,2,FALSE)))</f>
        <v/>
      </c>
      <c r="E91" s="16" t="str">
        <f>IF(AND(VLOOKUP(B91,Feb!B:BA,6,FALSE)="", WEEKDAY(B91,2)=6,VLOOKUP(B91,Feb!B:BA,48,FALSE)&gt;0),VLOOKUP(B91,Feb!B:BA,48,FALSE)*24,"")</f>
        <v/>
      </c>
      <c r="F91" s="16" t="str">
        <f>IF(AND(VLOOKUP(B91,Feb!B:BA,6,FALSE)="", WEEKDAY(B91,2)=7,VLOOKUP(B91,Feb!B:BA,49,FALSE)&gt;0),VLOOKUP(B91,Feb!B:BA,49,FALSE)*24,"")</f>
        <v/>
      </c>
      <c r="G91" s="16" t="str">
        <f>IF(AND(VLOOKUP(B91,Feb!B:BA,6,FALSE)="",VLOOKUP(B91,Feb!B:BA,46,FALSE)&gt;0),VLOOKUP(B91,Feb!B:BA,46,FALSE)*24,"")</f>
        <v/>
      </c>
      <c r="H91" s="36" t="str">
        <f>IF(AND(VLOOKUP(B91,Feb!B:BA,6,FALSE)="",VLOOKUP(B91,Feb!B:BA,50,FALSE)&gt;0),VLOOKUP(B91,Feb!B:BA,50,FALSE)*24,"")</f>
        <v/>
      </c>
      <c r="I91" s="30" t="str">
        <f>IF(AND(NETWORKDAYS(B91,B91,Feiertage)=1,VLOOKUP(B91,Feb!B:BA,6,FALSE)="U"),"Urlaub","")</f>
        <v/>
      </c>
      <c r="J91" s="34" t="str">
        <f ca="1">IF(AND(VLOOKUP(B91,Feb!B:BA,6,FALSE)="",VLOOKUP(B91,Feb!B:BA,22,FALSE)&lt;0),"Absetzen von","")</f>
        <v/>
      </c>
      <c r="K91" s="263"/>
      <c r="M91" s="316" t="str">
        <f ca="1">IF(VLOOKUP(B91,Feb!B:BA,22,FALSE)&lt;&gt;0,VLOOKUP(B91,Feb!B:BA,22,FALSE),"")</f>
        <v/>
      </c>
      <c r="N91" s="327"/>
    </row>
    <row r="92" spans="2:14" x14ac:dyDescent="0.25">
      <c r="B92" s="245">
        <f>Feb!F34</f>
        <v>42061</v>
      </c>
      <c r="C92" s="35">
        <f t="shared" si="1"/>
        <v>42061</v>
      </c>
      <c r="D92" s="17" t="str">
        <f>IF(AND(VLOOKUP(B92,Feb!B:BA,8,FALSE)&gt;0,VLOOKUP(B92,Feb!B:BA,6,FALSE)=""), CONCATENATE(TEXT(VLOOKUP(B92,Feb!B:BA,7,FALSE),"hh:mm"), "-", TEXT(VLOOKUP(B92,Feb!B:BA,8,FALSE),"[hh]:mm")," Uhr ", IF(VLOOKUP(B92,Feb!B:BA,12,FALSE)&gt;0, CONCATENATE("und ",TEXT(VLOOKUP(B92,Feb!B:BA,12,FALSE),"hh:mm"), "-", TEXT(VLOOKUP(B92,Feb!B:BA,13,FALSE),"[hh]:mm")," Uhr "),"")), IF(VLOOKUP(B92,Feb!B:BA,6,FALSE)="","",VLOOKUP(VLOOKUP(B92,Feb!B:BA,6,FALSE),Legende_Code,2,FALSE)))</f>
        <v/>
      </c>
      <c r="E92" s="16" t="str">
        <f>IF(AND(VLOOKUP(B92,Feb!B:BA,6,FALSE)="", WEEKDAY(B92,2)=6,VLOOKUP(B92,Feb!B:BA,48,FALSE)&gt;0),VLOOKUP(B92,Feb!B:BA,48,FALSE)*24,"")</f>
        <v/>
      </c>
      <c r="F92" s="16" t="str">
        <f>IF(AND(VLOOKUP(B92,Feb!B:BA,6,FALSE)="", WEEKDAY(B92,2)=7,VLOOKUP(B92,Feb!B:BA,49,FALSE)&gt;0),VLOOKUP(B92,Feb!B:BA,49,FALSE)*24,"")</f>
        <v/>
      </c>
      <c r="G92" s="16" t="str">
        <f>IF(AND(VLOOKUP(B92,Feb!B:BA,6,FALSE)="",VLOOKUP(B92,Feb!B:BA,46,FALSE)&gt;0),VLOOKUP(B92,Feb!B:BA,46,FALSE)*24,"")</f>
        <v/>
      </c>
      <c r="H92" s="36" t="str">
        <f>IF(AND(VLOOKUP(B92,Feb!B:BA,6,FALSE)="",VLOOKUP(B92,Feb!B:BA,50,FALSE)&gt;0),VLOOKUP(B92,Feb!B:BA,50,FALSE)*24,"")</f>
        <v/>
      </c>
      <c r="I92" s="30" t="str">
        <f>IF(AND(NETWORKDAYS(B92,B92,Feiertage)=1,VLOOKUP(B92,Feb!B:BA,6,FALSE)="U"),"Urlaub","")</f>
        <v/>
      </c>
      <c r="J92" s="34" t="str">
        <f ca="1">IF(AND(VLOOKUP(B92,Feb!B:BA,6,FALSE)="",VLOOKUP(B92,Feb!B:BA,22,FALSE)&lt;0),"Absetzen von","")</f>
        <v/>
      </c>
      <c r="K92" s="263"/>
      <c r="M92" s="316" t="str">
        <f ca="1">IF(VLOOKUP(B92,Feb!B:BA,22,FALSE)&lt;&gt;0,VLOOKUP(B92,Feb!B:BA,22,FALSE),"")</f>
        <v/>
      </c>
      <c r="N92" s="327"/>
    </row>
    <row r="93" spans="2:14" x14ac:dyDescent="0.25">
      <c r="B93" s="245">
        <f>Feb!F35</f>
        <v>42062</v>
      </c>
      <c r="C93" s="35">
        <f t="shared" si="1"/>
        <v>42062</v>
      </c>
      <c r="D93" s="17" t="str">
        <f>IF(AND(VLOOKUP(B93,Feb!B:BA,8,FALSE)&gt;0,VLOOKUP(B93,Feb!B:BA,6,FALSE)=""), CONCATENATE(TEXT(VLOOKUP(B93,Feb!B:BA,7,FALSE),"hh:mm"), "-", TEXT(VLOOKUP(B93,Feb!B:BA,8,FALSE),"[hh]:mm")," Uhr ", IF(VLOOKUP(B93,Feb!B:BA,12,FALSE)&gt;0, CONCATENATE("und ",TEXT(VLOOKUP(B93,Feb!B:BA,12,FALSE),"hh:mm"), "-", TEXT(VLOOKUP(B93,Feb!B:BA,13,FALSE),"[hh]:mm")," Uhr "),"")), IF(VLOOKUP(B93,Feb!B:BA,6,FALSE)="","",VLOOKUP(VLOOKUP(B93,Feb!B:BA,6,FALSE),Legende_Code,2,FALSE)))</f>
        <v/>
      </c>
      <c r="E93" s="16" t="str">
        <f>IF(AND(VLOOKUP(B93,Feb!B:BA,6,FALSE)="", WEEKDAY(B93,2)=6,VLOOKUP(B93,Feb!B:BA,48,FALSE)&gt;0),VLOOKUP(B93,Feb!B:BA,48,FALSE)*24,"")</f>
        <v/>
      </c>
      <c r="F93" s="16" t="str">
        <f>IF(AND(VLOOKUP(B93,Feb!B:BA,6,FALSE)="", WEEKDAY(B93,2)=7,VLOOKUP(B93,Feb!B:BA,49,FALSE)&gt;0),VLOOKUP(B93,Feb!B:BA,49,FALSE)*24,"")</f>
        <v/>
      </c>
      <c r="G93" s="16" t="str">
        <f>IF(AND(VLOOKUP(B93,Feb!B:BA,6,FALSE)="",VLOOKUP(B93,Feb!B:BA,46,FALSE)&gt;0),VLOOKUP(B93,Feb!B:BA,46,FALSE)*24,"")</f>
        <v/>
      </c>
      <c r="H93" s="36" t="str">
        <f>IF(AND(VLOOKUP(B93,Feb!B:BA,6,FALSE)="",VLOOKUP(B93,Feb!B:BA,50,FALSE)&gt;0),VLOOKUP(B93,Feb!B:BA,50,FALSE)*24,"")</f>
        <v/>
      </c>
      <c r="I93" s="30" t="str">
        <f>IF(AND(NETWORKDAYS(B93,B93,Feiertage)=1,VLOOKUP(B93,Feb!B:BA,6,FALSE)="U"),"Urlaub","")</f>
        <v/>
      </c>
      <c r="J93" s="34" t="str">
        <f ca="1">IF(AND(VLOOKUP(B93,Feb!B:BA,6,FALSE)="",VLOOKUP(B93,Feb!B:BA,22,FALSE)&lt;0),"Absetzen von","")</f>
        <v/>
      </c>
      <c r="K93" s="263"/>
      <c r="M93" s="316" t="str">
        <f ca="1">IF(VLOOKUP(B93,Feb!B:BA,22,FALSE)&lt;&gt;0,VLOOKUP(B93,Feb!B:BA,22,FALSE),"")</f>
        <v/>
      </c>
      <c r="N93" s="327"/>
    </row>
    <row r="94" spans="2:14" x14ac:dyDescent="0.25">
      <c r="B94" s="245" t="str">
        <f>Feb!F36</f>
        <v/>
      </c>
      <c r="C94" s="35" t="str">
        <f t="shared" si="1"/>
        <v/>
      </c>
      <c r="D94" s="17" t="str">
        <f>IF(AND(VLOOKUP(B94,Feb!B:BA,8,FALSE)&gt;0,VLOOKUP(B94,Feb!B:BA,6,FALSE)=""), CONCATENATE(TEXT(VLOOKUP(B94,Feb!B:BA,7,FALSE),"hh:mm"), "-", TEXT(VLOOKUP(B94,Feb!B:BA,8,FALSE),"[hh]:mm")," Uhr ", IF(VLOOKUP(B94,Feb!B:BA,12,FALSE)&gt;0, CONCATENATE("und ",TEXT(VLOOKUP(B94,Feb!B:BA,12,FALSE),"hh:mm"), "-", TEXT(VLOOKUP(B94,Feb!B:BA,13,FALSE),"[hh]:mm")," Uhr "),"")), IF(VLOOKUP(B94,Feb!B:BA,6,FALSE)="","",VLOOKUP(VLOOKUP(B94,Feb!B:BA,6,FALSE),Legende_Code,2,FALSE)))</f>
        <v/>
      </c>
      <c r="E94" s="16" t="str">
        <f>IF(B94&lt;&gt;"",IF(AND(VLOOKUP(B94,Feb!B:BA,6,FALSE)="",WEEKDAY(B94,2)=6,VLOOKUP(B94,Feb!B:BA,48,FALSE)&gt;0),VLOOKUP(B94,Feb!B:BA,48,FALSE)*24,""),"")</f>
        <v/>
      </c>
      <c r="F94" s="16" t="str">
        <f>IF(B94&lt;&gt;"",IF(AND(VLOOKUP(B94,Feb!B:BA,6,FALSE)="", WEEKDAY(B94,2)=7,VLOOKUP(B94,Feb!B:BA,49,FALSE)&gt;0),VLOOKUP(B94,Feb!B:BA,49,FALSE)*24,""),"")</f>
        <v/>
      </c>
      <c r="G94" s="16" t="str">
        <f>IF(B94&lt;&gt;"",IF(AND(VLOOKUP(B94,Feb!B:BA,6,FALSE)="",VLOOKUP(B94,Feb!B:BA,46,FALSE)&gt;0),VLOOKUP(B94,Feb!B:BA,46,FALSE)*24,""),"")</f>
        <v/>
      </c>
      <c r="H94" s="36" t="str">
        <f>IF(B94&lt;&gt;"",IF(AND(VLOOKUP(B94,Feb!B:BA,6,FALSE)="",VLOOKUP(B94,Feb!B:BA,50,FALSE)&gt;0),VLOOKUP(B94,Feb!B:BA,50,FALSE)*24,""),"")</f>
        <v/>
      </c>
      <c r="I94" s="30" t="str">
        <f>IF(B94&lt;&gt;"",IF(AND(NETWORKDAYS(B94,B94,Feiertage)=1,VLOOKUP(B94,Feb!B:BA,6,FALSE)="U"),"Urlaub",""),"")</f>
        <v/>
      </c>
      <c r="J94" s="34" t="str">
        <f>IF(B94&lt;&gt;"",IF(AND(VLOOKUP(B94,Jan!B:BA,6,FALSE)="",VLOOKUP(B94,Jan!B:BA,22,FALSE)&lt;0),"Absetzen von",""),"")</f>
        <v/>
      </c>
      <c r="K94" s="263"/>
      <c r="M94" s="316" t="str">
        <f>IF(VLOOKUP(B94,Feb!B:BA,22,FALSE)&lt;&gt;0,VLOOKUP(B94,Feb!B:BA,22,FALSE),"")</f>
        <v/>
      </c>
      <c r="N94" s="327"/>
    </row>
    <row r="95" spans="2:14" x14ac:dyDescent="0.25">
      <c r="B95" s="245"/>
      <c r="C95" s="35"/>
      <c r="D95" s="17"/>
      <c r="E95" s="16" t="str">
        <f>IF(B95&lt;&gt;"",IF(AND(VLOOKUP(B95,Jan!B:BA,6,FALSE)="", WEEKDAY(B95,2)=6,VLOOKUP(B95,Jan!B:BA,48,FALSE)&gt;0),VLOOKUP(B95,Jan!B:BA,48,FALSE)*24,""),"")</f>
        <v/>
      </c>
      <c r="F95" s="16" t="str">
        <f>IF(B95&lt;&gt;"",IF(AND(VLOOKUP(B95,Jan!B:BA,6,FALSE)="", WEEKDAY(B95,2)=7,VLOOKUP(B95,Jan!B:BA,49,FALSE)&gt;0),VLOOKUP(B95,Jan!B:BA,49,FALSE)*24,""),"")</f>
        <v/>
      </c>
      <c r="G95" s="16" t="str">
        <f>IF(B95&lt;&gt;"",IF(AND(VLOOKUP(B95,Jan!B:BA,6,FALSE)="",VLOOKUP(B95,Jan!B:BA,46,FALSE)&gt;0),VLOOKUP(B95,Jan!B:BA,46,FALSE)*24,""),"")</f>
        <v/>
      </c>
      <c r="H95" s="36" t="str">
        <f>IF(B95&lt;&gt;"",IF(AND(VLOOKUP(B95,Jan!B:BA,6,FALSE)="",VLOOKUP(B95,Jan!B:BA,50,FALSE)&gt;0),VLOOKUP(B95,Jan!B:BA,50,FALSE)*24,""),"")</f>
        <v/>
      </c>
      <c r="I95" s="30" t="str">
        <f>IF(B95&lt;&gt;"",IF(AND(NETWORKDAYS(B95,B95,Feiertage)=1,VLOOKUP(B95,Jan!B:BA,6,FALSE)="U"),"Urlaub",""),"")</f>
        <v/>
      </c>
      <c r="J95" s="34" t="str">
        <f>IF(B95&lt;&gt;"",IF(AND(VLOOKUP(B95,Jan!B:BA,6,FALSE)="",VLOOKUP(B95,Jan!B:BA,22,FALSE)&lt;0),"Absetzen von",""),"")</f>
        <v/>
      </c>
      <c r="K95" s="263"/>
      <c r="N95" s="327"/>
    </row>
    <row r="96" spans="2:14" ht="15.75" thickBot="1" x14ac:dyDescent="0.3">
      <c r="B96" s="245"/>
      <c r="C96" s="35"/>
      <c r="D96" s="17"/>
      <c r="E96" s="16" t="str">
        <f>IF(B96&lt;&gt;"",IF(AND(VLOOKUP(B96,Jan!B:BA,6,FALSE)="", WEEKDAY(B96,2)=6,VLOOKUP(B96,Jan!B:BA,48,FALSE)&gt;0),VLOOKUP(B96,Jan!B:BA,48,FALSE)*24,""),"")</f>
        <v/>
      </c>
      <c r="F96" s="16" t="str">
        <f>IF(B96&lt;&gt;"",IF(AND(VLOOKUP(B96,Jan!B:BA,6,FALSE)="", WEEKDAY(B96,2)=7,VLOOKUP(B96,Jan!B:BA,49,FALSE)&gt;0),VLOOKUP(B96,Jan!B:BA,49,FALSE)*24,""),"")</f>
        <v/>
      </c>
      <c r="G96" s="16" t="str">
        <f>IF(B96&lt;&gt;"",IF(AND(VLOOKUP(B96,Jan!B:BA,6,FALSE)="",VLOOKUP(B96,Jan!B:BA,46,FALSE)&gt;0),VLOOKUP(B96,Jan!B:BA,46,FALSE)*24,""),"")</f>
        <v/>
      </c>
      <c r="H96" s="36" t="str">
        <f>IF(B96&lt;&gt;"",IF(AND(VLOOKUP(B96,Jan!B:BA,6,FALSE)="",VLOOKUP(B96,Jan!B:BA,50,FALSE)&gt;0),VLOOKUP(B96,Jan!B:BA,50,FALSE)*24,""),"")</f>
        <v/>
      </c>
      <c r="I96" s="30" t="str">
        <f>IF(B96&lt;&gt;"",IF(AND(NETWORKDAYS(B96,B96,Feiertage)=1,VLOOKUP(B96,Jan!B:BA,6,FALSE)="U"),"Urlaub",""),"")</f>
        <v/>
      </c>
      <c r="J96" s="34" t="str">
        <f>IF(B96&lt;&gt;"",IF(AND(VLOOKUP(B96,Jan!B:BA,6,FALSE)="",VLOOKUP(B96,Jan!B:BA,22,FALSE)&lt;0),"Absetzen von",""),"")</f>
        <v/>
      </c>
      <c r="K96" s="263"/>
      <c r="N96" s="327"/>
    </row>
    <row r="97" spans="1:16" ht="15.75" thickBot="1" x14ac:dyDescent="0.3">
      <c r="B97" s="186"/>
      <c r="C97" s="37"/>
      <c r="D97" s="38" t="s">
        <v>198</v>
      </c>
      <c r="E97" s="39" t="str">
        <f>IF(SUM(E66:E96)=0," ",SUM(E66:E96))</f>
        <v xml:space="preserve"> </v>
      </c>
      <c r="F97" s="39" t="str">
        <f>IF(SUM(F66:F96)=0," ",SUM(F66:F96))</f>
        <v xml:space="preserve"> </v>
      </c>
      <c r="G97" s="39" t="str">
        <f>IF(SUM(G66:G96)=0," ",SUM(G66:G96))</f>
        <v xml:space="preserve"> </v>
      </c>
      <c r="H97" s="40" t="str">
        <f>IF(SUM(H66:H96)=0," ",SUM(H66:H96))</f>
        <v xml:space="preserve"> </v>
      </c>
      <c r="I97" s="30"/>
      <c r="J97" s="185"/>
      <c r="K97" s="266"/>
      <c r="N97" s="327"/>
    </row>
    <row r="98" spans="1:16" x14ac:dyDescent="0.25">
      <c r="B98" s="44" t="s">
        <v>199</v>
      </c>
      <c r="C98" s="20"/>
      <c r="D98" s="41"/>
      <c r="E98" s="20"/>
      <c r="F98" s="20"/>
      <c r="G98" s="20" t="s">
        <v>200</v>
      </c>
      <c r="H98" s="20"/>
      <c r="I98" s="20"/>
      <c r="J98" s="20"/>
      <c r="K98" s="267"/>
      <c r="N98" s="327"/>
    </row>
    <row r="99" spans="1:16" x14ac:dyDescent="0.25">
      <c r="B99" s="44"/>
      <c r="C99" s="20"/>
      <c r="D99" s="41"/>
      <c r="E99" s="20"/>
      <c r="F99" s="20"/>
      <c r="G99" s="20"/>
      <c r="H99" s="20"/>
      <c r="I99" s="20"/>
      <c r="J99" s="20"/>
      <c r="K99" s="267"/>
      <c r="N99" s="327"/>
    </row>
    <row r="100" spans="1:16" x14ac:dyDescent="0.25">
      <c r="B100" s="44"/>
      <c r="C100" s="20"/>
      <c r="D100" s="41"/>
      <c r="E100" s="20"/>
      <c r="F100" s="20"/>
      <c r="G100" s="20"/>
      <c r="H100" s="20"/>
      <c r="I100" s="20"/>
      <c r="J100" s="20"/>
      <c r="K100" s="267"/>
      <c r="N100" s="327"/>
    </row>
    <row r="101" spans="1:16" x14ac:dyDescent="0.25">
      <c r="B101" s="44" t="s">
        <v>201</v>
      </c>
      <c r="C101" s="20"/>
      <c r="D101" s="41"/>
      <c r="E101" s="20"/>
      <c r="F101" s="20"/>
      <c r="G101" s="20" t="s">
        <v>202</v>
      </c>
      <c r="H101" s="20"/>
      <c r="I101" s="20"/>
      <c r="J101" s="20"/>
      <c r="K101" s="267"/>
      <c r="N101" s="327"/>
    </row>
    <row r="102" spans="1:16" x14ac:dyDescent="0.25">
      <c r="B102" s="253"/>
      <c r="C102" s="42"/>
      <c r="D102" s="18"/>
      <c r="E102" s="19"/>
      <c r="F102" s="19"/>
      <c r="G102" s="19"/>
      <c r="H102" s="43"/>
      <c r="I102" s="20"/>
      <c r="J102" s="44"/>
      <c r="K102" s="268"/>
      <c r="N102" s="327"/>
    </row>
    <row r="103" spans="1:16" x14ac:dyDescent="0.25">
      <c r="B103" s="253"/>
      <c r="C103" s="42"/>
      <c r="D103" s="18"/>
      <c r="E103" s="19"/>
      <c r="F103" s="19"/>
      <c r="G103" s="19"/>
      <c r="H103" s="43"/>
      <c r="I103" s="20"/>
      <c r="J103" s="44"/>
      <c r="K103" s="268"/>
      <c r="N103" s="327"/>
    </row>
    <row r="104" spans="1:16" x14ac:dyDescent="0.25">
      <c r="B104" s="253"/>
      <c r="C104" s="42"/>
      <c r="D104" s="18"/>
      <c r="E104" s="19"/>
      <c r="F104" s="19"/>
      <c r="G104" s="19"/>
      <c r="H104" s="43"/>
      <c r="I104" s="20"/>
      <c r="J104" s="44"/>
      <c r="K104" s="268"/>
      <c r="N104" s="327"/>
    </row>
    <row r="105" spans="1:16" x14ac:dyDescent="0.25">
      <c r="B105" s="253"/>
      <c r="C105" s="42"/>
      <c r="D105" s="18"/>
      <c r="E105" s="19"/>
      <c r="F105" s="19"/>
      <c r="G105" s="19"/>
      <c r="H105" s="43"/>
      <c r="I105" s="20"/>
      <c r="J105" s="44"/>
      <c r="K105" s="268"/>
      <c r="N105" s="327"/>
    </row>
    <row r="106" spans="1:16" s="45" customFormat="1" ht="18" x14ac:dyDescent="0.25">
      <c r="B106" s="252"/>
      <c r="C106" s="539" t="s">
        <v>186</v>
      </c>
      <c r="D106" s="539"/>
      <c r="E106" s="539"/>
      <c r="F106" s="539"/>
      <c r="G106" s="21"/>
      <c r="H106" s="21"/>
      <c r="I106" s="21"/>
      <c r="J106" s="21"/>
      <c r="K106" s="259"/>
      <c r="L106" s="29"/>
      <c r="M106" s="316"/>
      <c r="N106" s="327"/>
      <c r="O106" s="29"/>
      <c r="P106" s="29"/>
    </row>
    <row r="107" spans="1:16" s="45" customFormat="1" ht="16.5" x14ac:dyDescent="0.25">
      <c r="B107" s="252" t="s">
        <v>82</v>
      </c>
      <c r="C107" s="21"/>
      <c r="D107" s="22"/>
      <c r="E107" s="21"/>
      <c r="F107" s="21"/>
      <c r="G107" s="21"/>
      <c r="H107" s="21"/>
      <c r="I107" s="23" t="str">
        <f>Struktureinheit</f>
        <v>Struktureinheit</v>
      </c>
      <c r="J107" s="24"/>
      <c r="K107" s="260"/>
      <c r="M107" s="317" t="s">
        <v>187</v>
      </c>
      <c r="N107" s="256"/>
    </row>
    <row r="108" spans="1:16" ht="16.5" x14ac:dyDescent="0.25">
      <c r="A108" s="29"/>
      <c r="B108" s="545" t="s">
        <v>1</v>
      </c>
      <c r="C108" s="545"/>
      <c r="D108" s="20" t="str">
        <f>Name</f>
        <v>Max Mustermann</v>
      </c>
      <c r="E108" s="25"/>
      <c r="F108" s="25"/>
      <c r="G108" s="25"/>
      <c r="H108" s="26"/>
      <c r="I108" s="27"/>
      <c r="J108" s="27"/>
      <c r="K108" s="260"/>
      <c r="M108" s="317" t="s">
        <v>188</v>
      </c>
      <c r="N108" s="257"/>
    </row>
    <row r="109" spans="1:16" ht="9.75" customHeight="1" x14ac:dyDescent="0.25">
      <c r="A109" s="29"/>
      <c r="C109" s="26"/>
      <c r="D109" s="28"/>
      <c r="E109" s="26"/>
      <c r="F109" s="26"/>
      <c r="G109" s="26"/>
      <c r="H109" s="26"/>
      <c r="I109" s="26"/>
      <c r="J109" s="26"/>
      <c r="K109" s="259"/>
      <c r="N109" s="327"/>
    </row>
    <row r="110" spans="1:16" x14ac:dyDescent="0.25">
      <c r="A110" s="29"/>
      <c r="B110" s="545" t="s">
        <v>189</v>
      </c>
      <c r="C110" s="545"/>
      <c r="D110" s="26">
        <f>Personalnummer</f>
        <v>123456789</v>
      </c>
      <c r="G110" s="26"/>
      <c r="H110" s="184" t="s">
        <v>190</v>
      </c>
      <c r="I110" s="540">
        <f>Geburtstag</f>
        <v>16833</v>
      </c>
      <c r="J110" s="540"/>
      <c r="K110" s="261"/>
      <c r="N110" s="327"/>
    </row>
    <row r="111" spans="1:16" x14ac:dyDescent="0.25">
      <c r="A111" s="29"/>
      <c r="C111" s="26"/>
      <c r="D111" s="28"/>
      <c r="E111" s="26"/>
      <c r="F111" s="26"/>
      <c r="G111" s="26"/>
      <c r="H111" s="26"/>
      <c r="I111" s="26"/>
      <c r="J111" s="26"/>
      <c r="K111" s="259"/>
      <c r="N111" s="327"/>
    </row>
    <row r="112" spans="1:16" x14ac:dyDescent="0.25">
      <c r="A112" s="29"/>
      <c r="B112" s="541" t="s">
        <v>191</v>
      </c>
      <c r="C112" s="541"/>
      <c r="D112" s="542">
        <f>B118</f>
        <v>42063</v>
      </c>
      <c r="E112" s="542"/>
      <c r="F112" s="542"/>
      <c r="G112" s="542"/>
      <c r="H112" s="542"/>
      <c r="I112" s="186"/>
      <c r="J112" s="543"/>
      <c r="K112" s="544"/>
      <c r="N112" s="327"/>
    </row>
    <row r="113" spans="2:14" ht="15" customHeight="1" x14ac:dyDescent="0.25">
      <c r="B113" s="557"/>
      <c r="C113" s="557"/>
      <c r="D113" s="558" t="s">
        <v>192</v>
      </c>
      <c r="E113" s="546" t="s">
        <v>38</v>
      </c>
      <c r="F113" s="546" t="s">
        <v>39</v>
      </c>
      <c r="G113" s="546" t="s">
        <v>105</v>
      </c>
      <c r="H113" s="548" t="s">
        <v>81</v>
      </c>
      <c r="I113" s="30" t="s">
        <v>193</v>
      </c>
      <c r="J113" s="550" t="s">
        <v>63</v>
      </c>
      <c r="K113" s="551"/>
      <c r="N113" s="327"/>
    </row>
    <row r="114" spans="2:14" x14ac:dyDescent="0.25">
      <c r="B114" s="557"/>
      <c r="C114" s="557"/>
      <c r="D114" s="558"/>
      <c r="E114" s="547"/>
      <c r="F114" s="547"/>
      <c r="G114" s="547"/>
      <c r="H114" s="549"/>
      <c r="I114" s="552"/>
      <c r="J114" s="550"/>
      <c r="K114" s="551"/>
      <c r="N114" s="327"/>
    </row>
    <row r="115" spans="2:14" x14ac:dyDescent="0.25">
      <c r="B115" s="557"/>
      <c r="C115" s="186"/>
      <c r="D115" s="31" t="s">
        <v>194</v>
      </c>
      <c r="E115" s="186" t="s">
        <v>195</v>
      </c>
      <c r="F115" s="186"/>
      <c r="G115" s="186" t="s">
        <v>196</v>
      </c>
      <c r="H115" s="32"/>
      <c r="I115" s="544"/>
      <c r="J115" s="543"/>
      <c r="K115" s="554"/>
      <c r="N115" s="327"/>
    </row>
    <row r="116" spans="2:14" x14ac:dyDescent="0.25">
      <c r="B116" s="186" t="s">
        <v>80</v>
      </c>
      <c r="C116" s="186" t="s">
        <v>128</v>
      </c>
      <c r="D116" s="31"/>
      <c r="E116" s="186" t="s">
        <v>197</v>
      </c>
      <c r="F116" s="186" t="s">
        <v>197</v>
      </c>
      <c r="G116" s="186" t="s">
        <v>197</v>
      </c>
      <c r="H116" s="32" t="s">
        <v>197</v>
      </c>
      <c r="I116" s="553"/>
      <c r="J116" s="555"/>
      <c r="K116" s="556"/>
      <c r="N116" s="327"/>
    </row>
    <row r="117" spans="2:14" x14ac:dyDescent="0.25">
      <c r="B117" s="186"/>
      <c r="C117" s="186"/>
      <c r="D117" s="33"/>
      <c r="E117" s="16"/>
      <c r="F117" s="186"/>
      <c r="G117" s="186"/>
      <c r="H117" s="32"/>
      <c r="I117" s="30"/>
      <c r="J117" s="34"/>
      <c r="K117" s="269"/>
      <c r="N117" s="327"/>
    </row>
    <row r="118" spans="2:14" x14ac:dyDescent="0.25">
      <c r="B118" s="245">
        <f>Mrz!F8</f>
        <v>42063</v>
      </c>
      <c r="C118" s="35">
        <f t="shared" si="1"/>
        <v>42063</v>
      </c>
      <c r="D118" s="17" t="str">
        <f>IF(AND(VLOOKUP(B118,Mrz!B:AZ,8,FALSE)&gt;0,VLOOKUP(B118,Mrz!B:AZ,6,FALSE)=""), CONCATENATE(TEXT(VLOOKUP(B118,Mrz!B:AZ,7,FALSE),"hh:mm"), "-", TEXT(VLOOKUP(B118,Mrz!B:AZ,8,FALSE),"[hh]:mm")," Uhr ", IF(VLOOKUP(B118,Mrz!B:AZ,12,FALSE)&gt;0, CONCATENATE("und ",TEXT(VLOOKUP(B118,Mrz!B:AZ,12,FALSE),"hh:mm"), "-", TEXT(VLOOKUP(B118,Mrz!B:AZ,13,FALSE),"[hh]:mm")," Uhr "),"")), IF(VLOOKUP(B118,Mrz!B:AZ,6,FALSE)="","",VLOOKUP(VLOOKUP(B118,Mrz!B:AZ,6,FALSE),Legende_Code,2,FALSE)))</f>
        <v/>
      </c>
      <c r="E118" s="16" t="str">
        <f>IF(AND(VLOOKUP(B118,Mrz!B:AZ,6,FALSE)="", WEEKDAY(B118,2)=6,VLOOKUP(B118,Mrz!B:AZ,48,FALSE)&gt;0),VLOOKUP(B118,Mrz!B:AZ,48,FALSE)*24,"")</f>
        <v/>
      </c>
      <c r="F118" s="16" t="str">
        <f>IF(AND(VLOOKUP(B118,Mrz!B:AZ,6,FALSE)="", WEEKDAY(B118,2)=7,VLOOKUP(B118,Mrz!B:AZ,49,FALSE)&gt;0),VLOOKUP(B118,Mrz!B:AZ,49,FALSE)*24,"")</f>
        <v/>
      </c>
      <c r="G118" s="16" t="str">
        <f>IF(AND(VLOOKUP(B118,Mrz!B:AZ,6,FALSE)="",VLOOKUP(B118,Mrz!B:AZ,46,FALSE)&gt;0),VLOOKUP(B118,Mrz!B:AZ,46,FALSE)*24,"")</f>
        <v/>
      </c>
      <c r="H118" s="36" t="str">
        <f>IF(AND(VLOOKUP(B118,Mrz!B:AZ,6,FALSE)="",VLOOKUP(B118,Mrz!B:AZ,50,FALSE)&gt;0),VLOOKUP(B118,Mrz!B:AZ,50,FALSE)*24,"")</f>
        <v/>
      </c>
      <c r="I118" s="30" t="str">
        <f>IF(AND(NETWORKDAYS(B118,B118,Feiertage)=1,VLOOKUP(B118,Mrz!B:AZ,6,FALSE)="U"),"Urlaub","")</f>
        <v/>
      </c>
      <c r="J118" s="34" t="str">
        <f ca="1">IF(AND(VLOOKUP(B118,Mrz!B:AZ,6,FALSE)="",VLOOKUP(B118,Mrz!B:AZ,22,FALSE)&lt;0),"Absetzen von","")</f>
        <v/>
      </c>
      <c r="K118" s="263"/>
      <c r="M118" s="316" t="str">
        <f ca="1">IF(VLOOKUP(B118,Mrz!B:AZ,22,FALSE)&lt;&gt;0,VLOOKUP(B118,Mrz!B:AZ,22,FALSE),"")</f>
        <v/>
      </c>
      <c r="N118" s="327"/>
    </row>
    <row r="119" spans="2:14" x14ac:dyDescent="0.25">
      <c r="B119" s="245">
        <f>Mrz!F9</f>
        <v>42064</v>
      </c>
      <c r="C119" s="35">
        <f t="shared" si="1"/>
        <v>42064</v>
      </c>
      <c r="D119" s="17" t="str">
        <f>IF(AND(VLOOKUP(B119,Mrz!B:AZ,8,FALSE)&gt;0,VLOOKUP(B119,Mrz!B:AZ,6,FALSE)=""), CONCATENATE(TEXT(VLOOKUP(B119,Mrz!B:AZ,7,FALSE),"hh:mm"), "-", TEXT(VLOOKUP(B119,Mrz!B:AZ,8,FALSE),"[hh]:mm")," Uhr ", IF(VLOOKUP(B119,Mrz!B:AZ,12,FALSE)&gt;0, CONCATENATE("und ",TEXT(VLOOKUP(B119,Mrz!B:AZ,12,FALSE),"hh:mm"), "-", TEXT(VLOOKUP(B119,Mrz!B:AZ,13,FALSE),"[hh]:mm")," Uhr "),"")), IF(VLOOKUP(B119,Mrz!B:AZ,6,FALSE)="","",VLOOKUP(VLOOKUP(B119,Mrz!B:AZ,6,FALSE),Legende_Code,2,FALSE)))</f>
        <v/>
      </c>
      <c r="E119" s="16" t="str">
        <f>IF(AND(VLOOKUP(B119,Mrz!B:AZ,6,FALSE)="", WEEKDAY(B119,2)=6,VLOOKUP(B119,Mrz!B:AZ,48,FALSE)&gt;0),VLOOKUP(B119,Mrz!B:AZ,48,FALSE)*24,"")</f>
        <v/>
      </c>
      <c r="F119" s="16" t="str">
        <f>IF(AND(VLOOKUP(B119,Mrz!B:AZ,6,FALSE)="", WEEKDAY(B119,2)=7,VLOOKUP(B119,Mrz!B:AZ,49,FALSE)&gt;0),VLOOKUP(B119,Mrz!B:AZ,49,FALSE)*24,"")</f>
        <v/>
      </c>
      <c r="G119" s="16" t="str">
        <f>IF(AND(VLOOKUP(B119,Mrz!B:AZ,6,FALSE)="",VLOOKUP(B119,Mrz!B:AZ,46,FALSE)&gt;0),VLOOKUP(B119,Mrz!B:AZ,46,FALSE)*24,"")</f>
        <v/>
      </c>
      <c r="H119" s="36" t="str">
        <f>IF(AND(VLOOKUP(B119,Mrz!B:AZ,6,FALSE)="",VLOOKUP(B119,Mrz!B:AZ,50,FALSE)&gt;0),VLOOKUP(B119,Mrz!B:AZ,50,FALSE)*24,"")</f>
        <v/>
      </c>
      <c r="I119" s="30" t="str">
        <f>IF(AND(NETWORKDAYS(B119,B119,Feiertage)=1,VLOOKUP(B119,Mrz!B:AZ,6,FALSE)="U"),"Urlaub","")</f>
        <v/>
      </c>
      <c r="J119" s="34" t="str">
        <f ca="1">IF(AND(VLOOKUP(B119,Mrz!B:AZ,6,FALSE)="",VLOOKUP(B119,Mrz!B:AZ,22,FALSE)&lt;0),"Absetzen von","")</f>
        <v/>
      </c>
      <c r="K119" s="263"/>
      <c r="M119" s="316" t="str">
        <f ca="1">IF(VLOOKUP(B119,Mrz!B:AZ,22,FALSE)&lt;&gt;0,VLOOKUP(B119,Mrz!B:AZ,22,FALSE),"")</f>
        <v/>
      </c>
      <c r="N119" s="327"/>
    </row>
    <row r="120" spans="2:14" x14ac:dyDescent="0.25">
      <c r="B120" s="245">
        <f>Mrz!F10</f>
        <v>42065</v>
      </c>
      <c r="C120" s="35">
        <f t="shared" si="1"/>
        <v>42065</v>
      </c>
      <c r="D120" s="17" t="str">
        <f>IF(AND(VLOOKUP(B120,Mrz!B:AZ,8,FALSE)&gt;0,VLOOKUP(B120,Mrz!B:AZ,6,FALSE)=""), CONCATENATE(TEXT(VLOOKUP(B120,Mrz!B:AZ,7,FALSE),"hh:mm"), "-", TEXT(VLOOKUP(B120,Mrz!B:AZ,8,FALSE),"[hh]:mm")," Uhr ", IF(VLOOKUP(B120,Mrz!B:AZ,12,FALSE)&gt;0, CONCATENATE("und ",TEXT(VLOOKUP(B120,Mrz!B:AZ,12,FALSE),"hh:mm"), "-", TEXT(VLOOKUP(B120,Mrz!B:AZ,13,FALSE),"[hh]:mm")," Uhr "),"")), IF(VLOOKUP(B120,Mrz!B:AZ,6,FALSE)="","",VLOOKUP(VLOOKUP(B120,Mrz!B:AZ,6,FALSE),Legende_Code,2,FALSE)))</f>
        <v/>
      </c>
      <c r="E120" s="16" t="str">
        <f>IF(AND(VLOOKUP(B120,Mrz!B:AZ,6,FALSE)="", WEEKDAY(B120,2)=6,VLOOKUP(B120,Mrz!B:AZ,48,FALSE)&gt;0),VLOOKUP(B120,Mrz!B:AZ,48,FALSE)*24,"")</f>
        <v/>
      </c>
      <c r="F120" s="16" t="str">
        <f>IF(AND(VLOOKUP(B120,Mrz!B:AZ,6,FALSE)="", WEEKDAY(B120,2)=7,VLOOKUP(B120,Mrz!B:AZ,49,FALSE)&gt;0),VLOOKUP(B120,Mrz!B:AZ,49,FALSE)*24,"")</f>
        <v/>
      </c>
      <c r="G120" s="16" t="str">
        <f>IF(AND(VLOOKUP(B120,Mrz!B:AZ,6,FALSE)="",VLOOKUP(B120,Mrz!B:AZ,46,FALSE)&gt;0),VLOOKUP(B120,Mrz!B:AZ,46,FALSE)*24,"")</f>
        <v/>
      </c>
      <c r="H120" s="36" t="str">
        <f>IF(AND(VLOOKUP(B120,Mrz!B:AZ,6,FALSE)="",VLOOKUP(B120,Mrz!B:AZ,50,FALSE)&gt;0),VLOOKUP(B120,Mrz!B:AZ,50,FALSE)*24,"")</f>
        <v/>
      </c>
      <c r="I120" s="30" t="str">
        <f>IF(AND(NETWORKDAYS(B120,B120,Feiertage)=1,VLOOKUP(B120,Mrz!B:AZ,6,FALSE)="U"),"Urlaub","")</f>
        <v/>
      </c>
      <c r="J120" s="34" t="str">
        <f ca="1">IF(AND(VLOOKUP(B120,Mrz!B:AZ,6,FALSE)="",VLOOKUP(B120,Mrz!B:AZ,22,FALSE)&lt;0),"Absetzen von","")</f>
        <v/>
      </c>
      <c r="K120" s="263"/>
      <c r="M120" s="316" t="str">
        <f ca="1">IF(VLOOKUP(B120,Mrz!B:AZ,22,FALSE)&lt;&gt;0,VLOOKUP(B120,Mrz!B:AZ,22,FALSE),"")</f>
        <v/>
      </c>
      <c r="N120" s="327"/>
    </row>
    <row r="121" spans="2:14" x14ac:dyDescent="0.25">
      <c r="B121" s="245">
        <f>Mrz!F11</f>
        <v>42066</v>
      </c>
      <c r="C121" s="35">
        <f t="shared" si="1"/>
        <v>42066</v>
      </c>
      <c r="D121" s="17" t="str">
        <f>IF(AND(VLOOKUP(B121,Mrz!B:AZ,8,FALSE)&gt;0,VLOOKUP(B121,Mrz!B:AZ,6,FALSE)=""), CONCATENATE(TEXT(VLOOKUP(B121,Mrz!B:AZ,7,FALSE),"hh:mm"), "-", TEXT(VLOOKUP(B121,Mrz!B:AZ,8,FALSE),"[hh]:mm")," Uhr ", IF(VLOOKUP(B121,Mrz!B:AZ,12,FALSE)&gt;0, CONCATENATE("und ",TEXT(VLOOKUP(B121,Mrz!B:AZ,12,FALSE),"hh:mm"), "-", TEXT(VLOOKUP(B121,Mrz!B:AZ,13,FALSE),"[hh]:mm")," Uhr "),"")), IF(VLOOKUP(B121,Mrz!B:AZ,6,FALSE)="","",VLOOKUP(VLOOKUP(B121,Mrz!B:AZ,6,FALSE),Legende_Code,2,FALSE)))</f>
        <v/>
      </c>
      <c r="E121" s="16" t="str">
        <f>IF(AND(VLOOKUP(B121,Mrz!B:AZ,6,FALSE)="", WEEKDAY(B121,2)=6,VLOOKUP(B121,Mrz!B:AZ,48,FALSE)&gt;0),VLOOKUP(B121,Mrz!B:AZ,48,FALSE)*24,"")</f>
        <v/>
      </c>
      <c r="F121" s="16" t="str">
        <f>IF(AND(VLOOKUP(B121,Mrz!B:AZ,6,FALSE)="", WEEKDAY(B121,2)=7,VLOOKUP(B121,Mrz!B:AZ,49,FALSE)&gt;0),VLOOKUP(B121,Mrz!B:AZ,49,FALSE)*24,"")</f>
        <v/>
      </c>
      <c r="G121" s="16" t="str">
        <f>IF(AND(VLOOKUP(B121,Mrz!B:AZ,6,FALSE)="",VLOOKUP(B121,Mrz!B:AZ,46,FALSE)&gt;0),VLOOKUP(B121,Mrz!B:AZ,46,FALSE)*24,"")</f>
        <v/>
      </c>
      <c r="H121" s="36" t="str">
        <f>IF(AND(VLOOKUP(B121,Mrz!B:AZ,6,FALSE)="",VLOOKUP(B121,Mrz!B:AZ,50,FALSE)&gt;0),VLOOKUP(B121,Mrz!B:AZ,50,FALSE)*24,"")</f>
        <v/>
      </c>
      <c r="I121" s="30" t="str">
        <f>IF(AND(NETWORKDAYS(B121,B121,Feiertage)=1,VLOOKUP(B121,Mrz!B:AZ,6,FALSE)="U"),"Urlaub","")</f>
        <v/>
      </c>
      <c r="J121" s="34" t="str">
        <f ca="1">IF(AND(VLOOKUP(B121,Mrz!B:AZ,6,FALSE)="",VLOOKUP(B121,Mrz!B:AZ,22,FALSE)&lt;0),"Absetzen von","")</f>
        <v/>
      </c>
      <c r="K121" s="263"/>
      <c r="M121" s="316" t="str">
        <f ca="1">IF(VLOOKUP(B121,Mrz!B:AZ,22,FALSE)&lt;&gt;0,VLOOKUP(B121,Mrz!B:AZ,22,FALSE),"")</f>
        <v/>
      </c>
      <c r="N121" s="327"/>
    </row>
    <row r="122" spans="2:14" x14ac:dyDescent="0.25">
      <c r="B122" s="245">
        <f>Mrz!F12</f>
        <v>42067</v>
      </c>
      <c r="C122" s="35">
        <f t="shared" si="1"/>
        <v>42067</v>
      </c>
      <c r="D122" s="17" t="str">
        <f>IF(AND(VLOOKUP(B122,Mrz!B:AZ,8,FALSE)&gt;0,VLOOKUP(B122,Mrz!B:AZ,6,FALSE)=""), CONCATENATE(TEXT(VLOOKUP(B122,Mrz!B:AZ,7,FALSE),"hh:mm"), "-", TEXT(VLOOKUP(B122,Mrz!B:AZ,8,FALSE),"[hh]:mm")," Uhr ", IF(VLOOKUP(B122,Mrz!B:AZ,12,FALSE)&gt;0, CONCATENATE("und ",TEXT(VLOOKUP(B122,Mrz!B:AZ,12,FALSE),"hh:mm"), "-", TEXT(VLOOKUP(B122,Mrz!B:AZ,13,FALSE),"[hh]:mm")," Uhr "),"")), IF(VLOOKUP(B122,Mrz!B:AZ,6,FALSE)="","",VLOOKUP(VLOOKUP(B122,Mrz!B:AZ,6,FALSE),Legende_Code,2,FALSE)))</f>
        <v/>
      </c>
      <c r="E122" s="16" t="str">
        <f>IF(AND(VLOOKUP(B122,Mrz!B:AZ,6,FALSE)="", WEEKDAY(B122,2)=6,VLOOKUP(B122,Mrz!B:AZ,48,FALSE)&gt;0),VLOOKUP(B122,Mrz!B:AZ,48,FALSE)*24,"")</f>
        <v/>
      </c>
      <c r="F122" s="16" t="str">
        <f>IF(AND(VLOOKUP(B122,Mrz!B:AZ,6,FALSE)="", WEEKDAY(B122,2)=7,VLOOKUP(B122,Mrz!B:AZ,49,FALSE)&gt;0),VLOOKUP(B122,Mrz!B:AZ,49,FALSE)*24,"")</f>
        <v/>
      </c>
      <c r="G122" s="16" t="str">
        <f>IF(AND(VLOOKUP(B122,Mrz!B:AZ,6,FALSE)="",VLOOKUP(B122,Mrz!B:AZ,46,FALSE)&gt;0),VLOOKUP(B122,Mrz!B:AZ,46,FALSE)*24,"")</f>
        <v/>
      </c>
      <c r="H122" s="36" t="str">
        <f>IF(AND(VLOOKUP(B122,Mrz!B:AZ,6,FALSE)="",VLOOKUP(B122,Mrz!B:AZ,50,FALSE)&gt;0),VLOOKUP(B122,Mrz!B:AZ,50,FALSE)*24,"")</f>
        <v/>
      </c>
      <c r="I122" s="30" t="str">
        <f>IF(AND(NETWORKDAYS(B122,B122,Feiertage)=1,VLOOKUP(B122,Mrz!B:AZ,6,FALSE)="U"),"Urlaub","")</f>
        <v/>
      </c>
      <c r="J122" s="34" t="str">
        <f ca="1">IF(AND(VLOOKUP(B122,Mrz!B:AZ,6,FALSE)="",VLOOKUP(B122,Mrz!B:AZ,22,FALSE)&lt;0),"Absetzen von","")</f>
        <v/>
      </c>
      <c r="K122" s="263"/>
      <c r="M122" s="316" t="str">
        <f ca="1">IF(VLOOKUP(B122,Mrz!B:AZ,22,FALSE)&lt;&gt;0,VLOOKUP(B122,Mrz!B:AZ,22,FALSE),"")</f>
        <v/>
      </c>
      <c r="N122" s="327"/>
    </row>
    <row r="123" spans="2:14" x14ac:dyDescent="0.25">
      <c r="B123" s="245">
        <f>Mrz!F13</f>
        <v>42068</v>
      </c>
      <c r="C123" s="35">
        <f t="shared" si="1"/>
        <v>42068</v>
      </c>
      <c r="D123" s="17" t="str">
        <f>IF(AND(VLOOKUP(B123,Mrz!B:AZ,8,FALSE)&gt;0,VLOOKUP(B123,Mrz!B:AZ,6,FALSE)=""), CONCATENATE(TEXT(VLOOKUP(B123,Mrz!B:AZ,7,FALSE),"hh:mm"), "-", TEXT(VLOOKUP(B123,Mrz!B:AZ,8,FALSE),"[hh]:mm")," Uhr ", IF(VLOOKUP(B123,Mrz!B:AZ,12,FALSE)&gt;0, CONCATENATE("und ",TEXT(VLOOKUP(B123,Mrz!B:AZ,12,FALSE),"hh:mm"), "-", TEXT(VLOOKUP(B123,Mrz!B:AZ,13,FALSE),"[hh]:mm")," Uhr "),"")), IF(VLOOKUP(B123,Mrz!B:AZ,6,FALSE)="","",VLOOKUP(VLOOKUP(B123,Mrz!B:AZ,6,FALSE),Legende_Code,2,FALSE)))</f>
        <v/>
      </c>
      <c r="E123" s="16" t="str">
        <f>IF(AND(VLOOKUP(B123,Mrz!B:AZ,6,FALSE)="", WEEKDAY(B123,2)=6,VLOOKUP(B123,Mrz!B:AZ,48,FALSE)&gt;0),VLOOKUP(B123,Mrz!B:AZ,48,FALSE)*24,"")</f>
        <v/>
      </c>
      <c r="F123" s="16" t="str">
        <f>IF(AND(VLOOKUP(B123,Mrz!B:AZ,6,FALSE)="", WEEKDAY(B123,2)=7,VLOOKUP(B123,Mrz!B:AZ,49,FALSE)&gt;0),VLOOKUP(B123,Mrz!B:AZ,49,FALSE)*24,"")</f>
        <v/>
      </c>
      <c r="G123" s="16" t="str">
        <f>IF(AND(VLOOKUP(B123,Mrz!B:AZ,6,FALSE)="",VLOOKUP(B123,Mrz!B:AZ,46,FALSE)&gt;0),VLOOKUP(B123,Mrz!B:AZ,46,FALSE)*24,"")</f>
        <v/>
      </c>
      <c r="H123" s="36" t="str">
        <f>IF(AND(VLOOKUP(B123,Mrz!B:AZ,6,FALSE)="",VLOOKUP(B123,Mrz!B:AZ,50,FALSE)&gt;0),VLOOKUP(B123,Mrz!B:AZ,50,FALSE)*24,"")</f>
        <v/>
      </c>
      <c r="I123" s="30" t="str">
        <f>IF(AND(NETWORKDAYS(B123,B123,Feiertage)=1,VLOOKUP(B123,Mrz!B:AZ,6,FALSE)="U"),"Urlaub","")</f>
        <v/>
      </c>
      <c r="J123" s="34" t="str">
        <f ca="1">IF(AND(VLOOKUP(B123,Mrz!B:AZ,6,FALSE)="",VLOOKUP(B123,Mrz!B:AZ,22,FALSE)&lt;0),"Absetzen von","")</f>
        <v/>
      </c>
      <c r="K123" s="263"/>
      <c r="M123" s="316" t="str">
        <f ca="1">IF(VLOOKUP(B123,Mrz!B:AZ,22,FALSE)&lt;&gt;0,VLOOKUP(B123,Mrz!B:AZ,22,FALSE),"")</f>
        <v/>
      </c>
      <c r="N123" s="327"/>
    </row>
    <row r="124" spans="2:14" x14ac:dyDescent="0.25">
      <c r="B124" s="245">
        <f>Mrz!F14</f>
        <v>42069</v>
      </c>
      <c r="C124" s="35">
        <f t="shared" si="1"/>
        <v>42069</v>
      </c>
      <c r="D124" s="17" t="str">
        <f>IF(AND(VLOOKUP(B124,Mrz!B:AZ,8,FALSE)&gt;0,VLOOKUP(B124,Mrz!B:AZ,6,FALSE)=""), CONCATENATE(TEXT(VLOOKUP(B124,Mrz!B:AZ,7,FALSE),"hh:mm"), "-", TEXT(VLOOKUP(B124,Mrz!B:AZ,8,FALSE),"[hh]:mm")," Uhr ", IF(VLOOKUP(B124,Mrz!B:AZ,12,FALSE)&gt;0, CONCATENATE("und ",TEXT(VLOOKUP(B124,Mrz!B:AZ,12,FALSE),"hh:mm"), "-", TEXT(VLOOKUP(B124,Mrz!B:AZ,13,FALSE),"[hh]:mm")," Uhr "),"")), IF(VLOOKUP(B124,Mrz!B:AZ,6,FALSE)="","",VLOOKUP(VLOOKUP(B124,Mrz!B:AZ,6,FALSE),Legende_Code,2,FALSE)))</f>
        <v/>
      </c>
      <c r="E124" s="16" t="str">
        <f>IF(AND(VLOOKUP(B124,Mrz!B:AZ,6,FALSE)="", WEEKDAY(B124,2)=6,VLOOKUP(B124,Mrz!B:AZ,48,FALSE)&gt;0),VLOOKUP(B124,Mrz!B:AZ,48,FALSE)*24,"")</f>
        <v/>
      </c>
      <c r="F124" s="16" t="str">
        <f>IF(AND(VLOOKUP(B124,Mrz!B:AZ,6,FALSE)="", WEEKDAY(B124,2)=7,VLOOKUP(B124,Mrz!B:AZ,49,FALSE)&gt;0),VLOOKUP(B124,Mrz!B:AZ,49,FALSE)*24,"")</f>
        <v/>
      </c>
      <c r="G124" s="16" t="str">
        <f>IF(AND(VLOOKUP(B124,Mrz!B:AZ,6,FALSE)="",VLOOKUP(B124,Mrz!B:AZ,46,FALSE)&gt;0),VLOOKUP(B124,Mrz!B:AZ,46,FALSE)*24,"")</f>
        <v/>
      </c>
      <c r="H124" s="36" t="str">
        <f>IF(AND(VLOOKUP(B124,Mrz!B:AZ,6,FALSE)="",VLOOKUP(B124,Mrz!B:AZ,50,FALSE)&gt;0),VLOOKUP(B124,Mrz!B:AZ,50,FALSE)*24,"")</f>
        <v/>
      </c>
      <c r="I124" s="30" t="str">
        <f>IF(AND(NETWORKDAYS(B124,B124,Feiertage)=1,VLOOKUP(B124,Mrz!B:AZ,6,FALSE)="U"),"Urlaub","")</f>
        <v/>
      </c>
      <c r="J124" s="34" t="str">
        <f ca="1">IF(AND(VLOOKUP(B124,Mrz!B:AZ,6,FALSE)="",VLOOKUP(B124,Mrz!B:AZ,22,FALSE)&lt;0),"Absetzen von","")</f>
        <v/>
      </c>
      <c r="K124" s="263"/>
      <c r="M124" s="316" t="str">
        <f ca="1">IF(VLOOKUP(B124,Mrz!B:AZ,22,FALSE)&lt;&gt;0,VLOOKUP(B124,Mrz!B:AZ,22,FALSE),"")</f>
        <v/>
      </c>
      <c r="N124" s="327"/>
    </row>
    <row r="125" spans="2:14" x14ac:dyDescent="0.25">
      <c r="B125" s="245">
        <f>Mrz!F15</f>
        <v>42070</v>
      </c>
      <c r="C125" s="35">
        <f t="shared" si="1"/>
        <v>42070</v>
      </c>
      <c r="D125" s="17" t="str">
        <f>IF(AND(VLOOKUP(B125,Mrz!B:AZ,8,FALSE)&gt;0,VLOOKUP(B125,Mrz!B:AZ,6,FALSE)=""), CONCATENATE(TEXT(VLOOKUP(B125,Mrz!B:AZ,7,FALSE),"hh:mm"), "-", TEXT(VLOOKUP(B125,Mrz!B:AZ,8,FALSE),"[hh]:mm")," Uhr ", IF(VLOOKUP(B125,Mrz!B:AZ,12,FALSE)&gt;0, CONCATENATE("und ",TEXT(VLOOKUP(B125,Mrz!B:AZ,12,FALSE),"hh:mm"), "-", TEXT(VLOOKUP(B125,Mrz!B:AZ,13,FALSE),"[hh]:mm")," Uhr "),"")), IF(VLOOKUP(B125,Mrz!B:AZ,6,FALSE)="","",VLOOKUP(VLOOKUP(B125,Mrz!B:AZ,6,FALSE),Legende_Code,2,FALSE)))</f>
        <v/>
      </c>
      <c r="E125" s="16" t="str">
        <f>IF(AND(VLOOKUP(B125,Mrz!B:AZ,6,FALSE)="", WEEKDAY(B125,2)=6,VLOOKUP(B125,Mrz!B:AZ,48,FALSE)&gt;0),VLOOKUP(B125,Mrz!B:AZ,48,FALSE)*24,"")</f>
        <v/>
      </c>
      <c r="F125" s="16" t="str">
        <f>IF(AND(VLOOKUP(B125,Mrz!B:AZ,6,FALSE)="", WEEKDAY(B125,2)=7,VLOOKUP(B125,Mrz!B:AZ,49,FALSE)&gt;0),VLOOKUP(B125,Mrz!B:AZ,49,FALSE)*24,"")</f>
        <v/>
      </c>
      <c r="G125" s="16" t="str">
        <f>IF(AND(VLOOKUP(B125,Mrz!B:AZ,6,FALSE)="",VLOOKUP(B125,Mrz!B:AZ,46,FALSE)&gt;0),VLOOKUP(B125,Mrz!B:AZ,46,FALSE)*24,"")</f>
        <v/>
      </c>
      <c r="H125" s="36" t="str">
        <f>IF(AND(VLOOKUP(B125,Mrz!B:AZ,6,FALSE)="",VLOOKUP(B125,Mrz!B:AZ,50,FALSE)&gt;0),VLOOKUP(B125,Mrz!B:AZ,50,FALSE)*24,"")</f>
        <v/>
      </c>
      <c r="I125" s="30" t="str">
        <f>IF(AND(NETWORKDAYS(B125,B125,Feiertage)=1,VLOOKUP(B125,Mrz!B:AZ,6,FALSE)="U"),"Urlaub","")</f>
        <v/>
      </c>
      <c r="J125" s="34" t="str">
        <f ca="1">IF(AND(VLOOKUP(B125,Mrz!B:AZ,6,FALSE)="",VLOOKUP(B125,Mrz!B:AZ,22,FALSE)&lt;0),"Absetzen von","")</f>
        <v/>
      </c>
      <c r="K125" s="263"/>
      <c r="M125" s="316" t="str">
        <f ca="1">IF(VLOOKUP(B125,Mrz!B:AZ,22,FALSE)&lt;&gt;0,VLOOKUP(B125,Mrz!B:AZ,22,FALSE),"")</f>
        <v/>
      </c>
      <c r="N125" s="327"/>
    </row>
    <row r="126" spans="2:14" x14ac:dyDescent="0.25">
      <c r="B126" s="245">
        <f>Mrz!F16</f>
        <v>42071</v>
      </c>
      <c r="C126" s="35">
        <f t="shared" si="1"/>
        <v>42071</v>
      </c>
      <c r="D126" s="17" t="str">
        <f>IF(AND(VLOOKUP(B126,Mrz!B:AZ,8,FALSE)&gt;0,VLOOKUP(B126,Mrz!B:AZ,6,FALSE)=""), CONCATENATE(TEXT(VLOOKUP(B126,Mrz!B:AZ,7,FALSE),"hh:mm"), "-", TEXT(VLOOKUP(B126,Mrz!B:AZ,8,FALSE),"[hh]:mm")," Uhr ", IF(VLOOKUP(B126,Mrz!B:AZ,12,FALSE)&gt;0, CONCATENATE("und ",TEXT(VLOOKUP(B126,Mrz!B:AZ,12,FALSE),"hh:mm"), "-", TEXT(VLOOKUP(B126,Mrz!B:AZ,13,FALSE),"[hh]:mm")," Uhr "),"")), IF(VLOOKUP(B126,Mrz!B:AZ,6,FALSE)="","",VLOOKUP(VLOOKUP(B126,Mrz!B:AZ,6,FALSE),Legende_Code,2,FALSE)))</f>
        <v/>
      </c>
      <c r="E126" s="16" t="str">
        <f>IF(AND(VLOOKUP(B126,Mrz!B:AZ,6,FALSE)="", WEEKDAY(B126,2)=6,VLOOKUP(B126,Mrz!B:AZ,48,FALSE)&gt;0),VLOOKUP(B126,Mrz!B:AZ,48,FALSE)*24,"")</f>
        <v/>
      </c>
      <c r="F126" s="16" t="str">
        <f>IF(AND(VLOOKUP(B126,Mrz!B:AZ,6,FALSE)="", WEEKDAY(B126,2)=7,VLOOKUP(B126,Mrz!B:AZ,49,FALSE)&gt;0),VLOOKUP(B126,Mrz!B:AZ,49,FALSE)*24,"")</f>
        <v/>
      </c>
      <c r="G126" s="16" t="str">
        <f>IF(AND(VLOOKUP(B126,Mrz!B:AZ,6,FALSE)="",VLOOKUP(B126,Mrz!B:AZ,46,FALSE)&gt;0),VLOOKUP(B126,Mrz!B:AZ,46,FALSE)*24,"")</f>
        <v/>
      </c>
      <c r="H126" s="36" t="str">
        <f>IF(AND(VLOOKUP(B126,Mrz!B:AZ,6,FALSE)="",VLOOKUP(B126,Mrz!B:AZ,50,FALSE)&gt;0),VLOOKUP(B126,Mrz!B:AZ,50,FALSE)*24,"")</f>
        <v/>
      </c>
      <c r="I126" s="30" t="str">
        <f>IF(AND(NETWORKDAYS(B126,B126,Feiertage)=1,VLOOKUP(B126,Mrz!B:AZ,6,FALSE)="U"),"Urlaub","")</f>
        <v/>
      </c>
      <c r="J126" s="34" t="str">
        <f ca="1">IF(AND(VLOOKUP(B126,Mrz!B:AZ,6,FALSE)="",VLOOKUP(B126,Mrz!B:AZ,22,FALSE)&lt;0),"Absetzen von","")</f>
        <v/>
      </c>
      <c r="K126" s="263"/>
      <c r="M126" s="316" t="str">
        <f ca="1">IF(VLOOKUP(B126,Mrz!B:AZ,22,FALSE)&lt;&gt;0,VLOOKUP(B126,Mrz!B:AZ,22,FALSE),"")</f>
        <v/>
      </c>
      <c r="N126" s="327"/>
    </row>
    <row r="127" spans="2:14" x14ac:dyDescent="0.25">
      <c r="B127" s="245">
        <f>Mrz!F17</f>
        <v>42072</v>
      </c>
      <c r="C127" s="35">
        <f t="shared" si="1"/>
        <v>42072</v>
      </c>
      <c r="D127" s="17" t="str">
        <f>IF(AND(VLOOKUP(B127,Mrz!B:AZ,8,FALSE)&gt;0,VLOOKUP(B127,Mrz!B:AZ,6,FALSE)=""), CONCATENATE(TEXT(VLOOKUP(B127,Mrz!B:AZ,7,FALSE),"hh:mm"), "-", TEXT(VLOOKUP(B127,Mrz!B:AZ,8,FALSE),"[hh]:mm")," Uhr ", IF(VLOOKUP(B127,Mrz!B:AZ,12,FALSE)&gt;0, CONCATENATE("und ",TEXT(VLOOKUP(B127,Mrz!B:AZ,12,FALSE),"hh:mm"), "-", TEXT(VLOOKUP(B127,Mrz!B:AZ,13,FALSE),"[hh]:mm")," Uhr "),"")), IF(VLOOKUP(B127,Mrz!B:AZ,6,FALSE)="","",VLOOKUP(VLOOKUP(B127,Mrz!B:AZ,6,FALSE),Legende_Code,2,FALSE)))</f>
        <v/>
      </c>
      <c r="E127" s="16" t="str">
        <f>IF(AND(VLOOKUP(B127,Mrz!B:AZ,6,FALSE)="", WEEKDAY(B127,2)=6,VLOOKUP(B127,Mrz!B:AZ,48,FALSE)&gt;0),VLOOKUP(B127,Mrz!B:AZ,48,FALSE)*24,"")</f>
        <v/>
      </c>
      <c r="F127" s="16" t="str">
        <f>IF(AND(VLOOKUP(B127,Mrz!B:AZ,6,FALSE)="", WEEKDAY(B127,2)=7,VLOOKUP(B127,Mrz!B:AZ,49,FALSE)&gt;0),VLOOKUP(B127,Mrz!B:AZ,49,FALSE)*24,"")</f>
        <v/>
      </c>
      <c r="G127" s="16" t="str">
        <f>IF(AND(VLOOKUP(B127,Mrz!B:AZ,6,FALSE)="",VLOOKUP(B127,Mrz!B:AZ,46,FALSE)&gt;0),VLOOKUP(B127,Mrz!B:AZ,46,FALSE)*24,"")</f>
        <v/>
      </c>
      <c r="H127" s="36" t="str">
        <f>IF(AND(VLOOKUP(B127,Mrz!B:AZ,6,FALSE)="",VLOOKUP(B127,Mrz!B:AZ,50,FALSE)&gt;0),VLOOKUP(B127,Mrz!B:AZ,50,FALSE)*24,"")</f>
        <v/>
      </c>
      <c r="I127" s="30" t="str">
        <f>IF(AND(NETWORKDAYS(B127,B127,Feiertage)=1,VLOOKUP(B127,Mrz!B:AZ,6,FALSE)="U"),"Urlaub","")</f>
        <v/>
      </c>
      <c r="J127" s="34" t="str">
        <f ca="1">IF(AND(VLOOKUP(B127,Mrz!B:AZ,6,FALSE)="",VLOOKUP(B127,Mrz!B:AZ,22,FALSE)&lt;0),"Absetzen von","")</f>
        <v/>
      </c>
      <c r="K127" s="263"/>
      <c r="M127" s="316" t="str">
        <f ca="1">IF(VLOOKUP(B127,Mrz!B:AZ,22,FALSE)&lt;&gt;0,VLOOKUP(B127,Mrz!B:AZ,22,FALSE),"")</f>
        <v/>
      </c>
      <c r="N127" s="327"/>
    </row>
    <row r="128" spans="2:14" x14ac:dyDescent="0.25">
      <c r="B128" s="245">
        <f>Mrz!F18</f>
        <v>42073</v>
      </c>
      <c r="C128" s="35">
        <f t="shared" si="1"/>
        <v>42073</v>
      </c>
      <c r="D128" s="17" t="str">
        <f>IF(AND(VLOOKUP(B128,Mrz!B:AZ,8,FALSE)&gt;0,VLOOKUP(B128,Mrz!B:AZ,6,FALSE)=""), CONCATENATE(TEXT(VLOOKUP(B128,Mrz!B:AZ,7,FALSE),"hh:mm"), "-", TEXT(VLOOKUP(B128,Mrz!B:AZ,8,FALSE),"[hh]:mm")," Uhr ", IF(VLOOKUP(B128,Mrz!B:AZ,12,FALSE)&gt;0, CONCATENATE("und ",TEXT(VLOOKUP(B128,Mrz!B:AZ,12,FALSE),"hh:mm"), "-", TEXT(VLOOKUP(B128,Mrz!B:AZ,13,FALSE),"[hh]:mm")," Uhr "),"")), IF(VLOOKUP(B128,Mrz!B:AZ,6,FALSE)="","",VLOOKUP(VLOOKUP(B128,Mrz!B:AZ,6,FALSE),Legende_Code,2,FALSE)))</f>
        <v/>
      </c>
      <c r="E128" s="16" t="str">
        <f>IF(AND(VLOOKUP(B128,Mrz!B:AZ,6,FALSE)="", WEEKDAY(B128,2)=6,VLOOKUP(B128,Mrz!B:AZ,48,FALSE)&gt;0),VLOOKUP(B128,Mrz!B:AZ,48,FALSE)*24,"")</f>
        <v/>
      </c>
      <c r="F128" s="16" t="str">
        <f>IF(AND(VLOOKUP(B128,Mrz!B:AZ,6,FALSE)="", WEEKDAY(B128,2)=7,VLOOKUP(B128,Mrz!B:AZ,49,FALSE)&gt;0),VLOOKUP(B128,Mrz!B:AZ,49,FALSE)*24,"")</f>
        <v/>
      </c>
      <c r="G128" s="16" t="str">
        <f>IF(AND(VLOOKUP(B128,Mrz!B:AZ,6,FALSE)="",VLOOKUP(B128,Mrz!B:AZ,46,FALSE)&gt;0),VLOOKUP(B128,Mrz!B:AZ,46,FALSE)*24,"")</f>
        <v/>
      </c>
      <c r="H128" s="36" t="str">
        <f>IF(AND(VLOOKUP(B128,Mrz!B:AZ,6,FALSE)="",VLOOKUP(B128,Mrz!B:AZ,50,FALSE)&gt;0),VLOOKUP(B128,Mrz!B:AZ,50,FALSE)*24,"")</f>
        <v/>
      </c>
      <c r="I128" s="30" t="str">
        <f>IF(AND(NETWORKDAYS(B128,B128,Feiertage)=1,VLOOKUP(B128,Mrz!B:AZ,6,FALSE)="U"),"Urlaub","")</f>
        <v/>
      </c>
      <c r="J128" s="34" t="str">
        <f ca="1">IF(AND(VLOOKUP(B128,Mrz!B:AZ,6,FALSE)="",VLOOKUP(B128,Mrz!B:AZ,22,FALSE)&lt;0),"Absetzen von","")</f>
        <v/>
      </c>
      <c r="K128" s="263"/>
      <c r="M128" s="316" t="str">
        <f ca="1">IF(VLOOKUP(B128,Mrz!B:AZ,22,FALSE)&lt;&gt;0,VLOOKUP(B128,Mrz!B:AZ,22,FALSE),"")</f>
        <v/>
      </c>
      <c r="N128" s="327"/>
    </row>
    <row r="129" spans="2:14" x14ac:dyDescent="0.25">
      <c r="B129" s="245">
        <f>Mrz!F19</f>
        <v>42074</v>
      </c>
      <c r="C129" s="35">
        <f t="shared" si="1"/>
        <v>42074</v>
      </c>
      <c r="D129" s="17" t="str">
        <f>IF(AND(VLOOKUP(B129,Mrz!B:AZ,8,FALSE)&gt;0,VLOOKUP(B129,Mrz!B:AZ,6,FALSE)=""), CONCATENATE(TEXT(VLOOKUP(B129,Mrz!B:AZ,7,FALSE),"hh:mm"), "-", TEXT(VLOOKUP(B129,Mrz!B:AZ,8,FALSE),"[hh]:mm")," Uhr ", IF(VLOOKUP(B129,Mrz!B:AZ,12,FALSE)&gt;0, CONCATENATE("und ",TEXT(VLOOKUP(B129,Mrz!B:AZ,12,FALSE),"hh:mm"), "-", TEXT(VLOOKUP(B129,Mrz!B:AZ,13,FALSE),"[hh]:mm")," Uhr "),"")), IF(VLOOKUP(B129,Mrz!B:AZ,6,FALSE)="","",VLOOKUP(VLOOKUP(B129,Mrz!B:AZ,6,FALSE),Legende_Code,2,FALSE)))</f>
        <v/>
      </c>
      <c r="E129" s="16" t="str">
        <f>IF(AND(VLOOKUP(B129,Mrz!B:AZ,6,FALSE)="", WEEKDAY(B129,2)=6,VLOOKUP(B129,Mrz!B:AZ,48,FALSE)&gt;0),VLOOKUP(B129,Mrz!B:AZ,48,FALSE)*24,"")</f>
        <v/>
      </c>
      <c r="F129" s="16" t="str">
        <f>IF(AND(VLOOKUP(B129,Mrz!B:AZ,6,FALSE)="", WEEKDAY(B129,2)=7,VLOOKUP(B129,Mrz!B:AZ,49,FALSE)&gt;0),VLOOKUP(B129,Mrz!B:AZ,49,FALSE)*24,"")</f>
        <v/>
      </c>
      <c r="G129" s="16" t="str">
        <f>IF(AND(VLOOKUP(B129,Mrz!B:AZ,6,FALSE)="",VLOOKUP(B129,Mrz!B:AZ,46,FALSE)&gt;0),VLOOKUP(B129,Mrz!B:AZ,46,FALSE)*24,"")</f>
        <v/>
      </c>
      <c r="H129" s="36" t="str">
        <f>IF(AND(VLOOKUP(B129,Mrz!B:AZ,6,FALSE)="",VLOOKUP(B129,Mrz!B:AZ,50,FALSE)&gt;0),VLOOKUP(B129,Mrz!B:AZ,50,FALSE)*24,"")</f>
        <v/>
      </c>
      <c r="I129" s="30" t="str">
        <f>IF(AND(NETWORKDAYS(B129,B129,Feiertage)=1,VLOOKUP(B129,Mrz!B:AZ,6,FALSE)="U"),"Urlaub","")</f>
        <v/>
      </c>
      <c r="J129" s="34" t="str">
        <f ca="1">IF(AND(VLOOKUP(B129,Mrz!B:AZ,6,FALSE)="",VLOOKUP(B129,Mrz!B:AZ,22,FALSE)&lt;0),"Absetzen von","")</f>
        <v/>
      </c>
      <c r="K129" s="263"/>
      <c r="M129" s="316" t="str">
        <f ca="1">IF(VLOOKUP(B129,Mrz!B:AZ,22,FALSE)&lt;&gt;0,VLOOKUP(B129,Mrz!B:AZ,22,FALSE),"")</f>
        <v/>
      </c>
      <c r="N129" s="327"/>
    </row>
    <row r="130" spans="2:14" x14ac:dyDescent="0.25">
      <c r="B130" s="245">
        <f>Mrz!F20</f>
        <v>42075</v>
      </c>
      <c r="C130" s="35">
        <f t="shared" si="1"/>
        <v>42075</v>
      </c>
      <c r="D130" s="17" t="str">
        <f>IF(AND(VLOOKUP(B130,Mrz!B:AZ,8,FALSE)&gt;0,VLOOKUP(B130,Mrz!B:AZ,6,FALSE)=""), CONCATENATE(TEXT(VLOOKUP(B130,Mrz!B:AZ,7,FALSE),"hh:mm"), "-", TEXT(VLOOKUP(B130,Mrz!B:AZ,8,FALSE),"[hh]:mm")," Uhr ", IF(VLOOKUP(B130,Mrz!B:AZ,12,FALSE)&gt;0, CONCATENATE("und ",TEXT(VLOOKUP(B130,Mrz!B:AZ,12,FALSE),"hh:mm"), "-", TEXT(VLOOKUP(B130,Mrz!B:AZ,13,FALSE),"[hh]:mm")," Uhr "),"")), IF(VLOOKUP(B130,Mrz!B:AZ,6,FALSE)="","",VLOOKUP(VLOOKUP(B130,Mrz!B:AZ,6,FALSE),Legende_Code,2,FALSE)))</f>
        <v/>
      </c>
      <c r="E130" s="16" t="str">
        <f>IF(AND(VLOOKUP(B130,Mrz!B:AZ,6,FALSE)="", WEEKDAY(B130,2)=6,VLOOKUP(B130,Mrz!B:AZ,48,FALSE)&gt;0),VLOOKUP(B130,Mrz!B:AZ,48,FALSE)*24,"")</f>
        <v/>
      </c>
      <c r="F130" s="16" t="str">
        <f>IF(AND(VLOOKUP(B130,Mrz!B:AZ,6,FALSE)="", WEEKDAY(B130,2)=7,VLOOKUP(B130,Mrz!B:AZ,49,FALSE)&gt;0),VLOOKUP(B130,Mrz!B:AZ,49,FALSE)*24,"")</f>
        <v/>
      </c>
      <c r="G130" s="16" t="str">
        <f>IF(AND(VLOOKUP(B130,Mrz!B:AZ,6,FALSE)="",VLOOKUP(B130,Mrz!B:AZ,46,FALSE)&gt;0),VLOOKUP(B130,Mrz!B:AZ,46,FALSE)*24,"")</f>
        <v/>
      </c>
      <c r="H130" s="36" t="str">
        <f>IF(AND(VLOOKUP(B130,Mrz!B:AZ,6,FALSE)="",VLOOKUP(B130,Mrz!B:AZ,50,FALSE)&gt;0),VLOOKUP(B130,Mrz!B:AZ,50,FALSE)*24,"")</f>
        <v/>
      </c>
      <c r="I130" s="30" t="str">
        <f>IF(AND(NETWORKDAYS(B130,B130,Feiertage)=1,VLOOKUP(B130,Mrz!B:AZ,6,FALSE)="U"),"Urlaub","")</f>
        <v/>
      </c>
      <c r="J130" s="34" t="str">
        <f ca="1">IF(AND(VLOOKUP(B130,Mrz!B:AZ,6,FALSE)="",VLOOKUP(B130,Mrz!B:AZ,22,FALSE)&lt;0),"Absetzen von","")</f>
        <v/>
      </c>
      <c r="K130" s="263"/>
      <c r="M130" s="316" t="str">
        <f ca="1">IF(VLOOKUP(B130,Mrz!B:AZ,22,FALSE)&lt;&gt;0,VLOOKUP(B130,Mrz!B:AZ,22,FALSE),"")</f>
        <v/>
      </c>
      <c r="N130" s="327"/>
    </row>
    <row r="131" spans="2:14" x14ac:dyDescent="0.25">
      <c r="B131" s="245">
        <f>Mrz!F21</f>
        <v>42076</v>
      </c>
      <c r="C131" s="35">
        <f t="shared" si="1"/>
        <v>42076</v>
      </c>
      <c r="D131" s="17" t="str">
        <f>IF(AND(VLOOKUP(B131,Mrz!B:AZ,8,FALSE)&gt;0,VLOOKUP(B131,Mrz!B:AZ,6,FALSE)=""), CONCATENATE(TEXT(VLOOKUP(B131,Mrz!B:AZ,7,FALSE),"hh:mm"), "-", TEXT(VLOOKUP(B131,Mrz!B:AZ,8,FALSE),"[hh]:mm")," Uhr ", IF(VLOOKUP(B131,Mrz!B:AZ,12,FALSE)&gt;0, CONCATENATE("und ",TEXT(VLOOKUP(B131,Mrz!B:AZ,12,FALSE),"hh:mm"), "-", TEXT(VLOOKUP(B131,Mrz!B:AZ,13,FALSE),"[hh]:mm")," Uhr "),"")), IF(VLOOKUP(B131,Mrz!B:AZ,6,FALSE)="","",VLOOKUP(VLOOKUP(B131,Mrz!B:AZ,6,FALSE),Legende_Code,2,FALSE)))</f>
        <v/>
      </c>
      <c r="E131" s="16" t="str">
        <f>IF(AND(VLOOKUP(B131,Mrz!B:AZ,6,FALSE)="", WEEKDAY(B131,2)=6,VLOOKUP(B131,Mrz!B:AZ,48,FALSE)&gt;0),VLOOKUP(B131,Mrz!B:AZ,48,FALSE)*24,"")</f>
        <v/>
      </c>
      <c r="F131" s="16" t="str">
        <f>IF(AND(VLOOKUP(B131,Mrz!B:AZ,6,FALSE)="", WEEKDAY(B131,2)=7,VLOOKUP(B131,Mrz!B:AZ,49,FALSE)&gt;0),VLOOKUP(B131,Mrz!B:AZ,49,FALSE)*24,"")</f>
        <v/>
      </c>
      <c r="G131" s="16" t="str">
        <f>IF(AND(VLOOKUP(B131,Mrz!B:AZ,6,FALSE)="",VLOOKUP(B131,Mrz!B:AZ,46,FALSE)&gt;0),VLOOKUP(B131,Mrz!B:AZ,46,FALSE)*24,"")</f>
        <v/>
      </c>
      <c r="H131" s="36" t="str">
        <f>IF(AND(VLOOKUP(B131,Mrz!B:AZ,6,FALSE)="",VLOOKUP(B131,Mrz!B:AZ,50,FALSE)&gt;0),VLOOKUP(B131,Mrz!B:AZ,50,FALSE)*24,"")</f>
        <v/>
      </c>
      <c r="I131" s="30" t="str">
        <f>IF(AND(NETWORKDAYS(B131,B131,Feiertage)=1,VLOOKUP(B131,Mrz!B:AZ,6,FALSE)="U"),"Urlaub","")</f>
        <v/>
      </c>
      <c r="J131" s="34" t="str">
        <f ca="1">IF(AND(VLOOKUP(B131,Mrz!B:AZ,6,FALSE)="",VLOOKUP(B131,Mrz!B:AZ,22,FALSE)&lt;0),"Absetzen von","")</f>
        <v/>
      </c>
      <c r="K131" s="263"/>
      <c r="M131" s="316" t="str">
        <f ca="1">IF(VLOOKUP(B131,Mrz!B:AZ,22,FALSE)&lt;&gt;0,VLOOKUP(B131,Mrz!B:AZ,22,FALSE),"")</f>
        <v/>
      </c>
      <c r="N131" s="327"/>
    </row>
    <row r="132" spans="2:14" x14ac:dyDescent="0.25">
      <c r="B132" s="245">
        <f>Mrz!F22</f>
        <v>42077</v>
      </c>
      <c r="C132" s="35">
        <f t="shared" si="1"/>
        <v>42077</v>
      </c>
      <c r="D132" s="17" t="str">
        <f>IF(AND(VLOOKUP(B132,Mrz!B:AZ,8,FALSE)&gt;0,VLOOKUP(B132,Mrz!B:AZ,6,FALSE)=""), CONCATENATE(TEXT(VLOOKUP(B132,Mrz!B:AZ,7,FALSE),"hh:mm"), "-", TEXT(VLOOKUP(B132,Mrz!B:AZ,8,FALSE),"[hh]:mm")," Uhr ", IF(VLOOKUP(B132,Mrz!B:AZ,12,FALSE)&gt;0, CONCATENATE("und ",TEXT(VLOOKUP(B132,Mrz!B:AZ,12,FALSE),"hh:mm"), "-", TEXT(VLOOKUP(B132,Mrz!B:AZ,13,FALSE),"[hh]:mm")," Uhr "),"")), IF(VLOOKUP(B132,Mrz!B:AZ,6,FALSE)="","",VLOOKUP(VLOOKUP(B132,Mrz!B:AZ,6,FALSE),Legende_Code,2,FALSE)))</f>
        <v/>
      </c>
      <c r="E132" s="16" t="str">
        <f>IF(AND(VLOOKUP(B132,Mrz!B:AZ,6,FALSE)="", WEEKDAY(B132,2)=6,VLOOKUP(B132,Mrz!B:AZ,48,FALSE)&gt;0),VLOOKUP(B132,Mrz!B:AZ,48,FALSE)*24,"")</f>
        <v/>
      </c>
      <c r="F132" s="16" t="str">
        <f>IF(AND(VLOOKUP(B132,Mrz!B:AZ,6,FALSE)="", WEEKDAY(B132,2)=7,VLOOKUP(B132,Mrz!B:AZ,49,FALSE)&gt;0),VLOOKUP(B132,Mrz!B:AZ,49,FALSE)*24,"")</f>
        <v/>
      </c>
      <c r="G132" s="16" t="str">
        <f>IF(AND(VLOOKUP(B132,Mrz!B:AZ,6,FALSE)="",VLOOKUP(B132,Mrz!B:AZ,46,FALSE)&gt;0),VLOOKUP(B132,Mrz!B:AZ,46,FALSE)*24,"")</f>
        <v/>
      </c>
      <c r="H132" s="36" t="str">
        <f>IF(AND(VLOOKUP(B132,Mrz!B:AZ,6,FALSE)="",VLOOKUP(B132,Mrz!B:AZ,50,FALSE)&gt;0),VLOOKUP(B132,Mrz!B:AZ,50,FALSE)*24,"")</f>
        <v/>
      </c>
      <c r="I132" s="30" t="str">
        <f>IF(AND(NETWORKDAYS(B132,B132,Feiertage)=1,VLOOKUP(B132,Mrz!B:AZ,6,FALSE)="U"),"Urlaub","")</f>
        <v/>
      </c>
      <c r="J132" s="34" t="str">
        <f ca="1">IF(AND(VLOOKUP(B132,Mrz!B:AZ,6,FALSE)="",VLOOKUP(B132,Mrz!B:AZ,22,FALSE)&lt;0),"Absetzen von","")</f>
        <v/>
      </c>
      <c r="K132" s="263"/>
      <c r="M132" s="316" t="str">
        <f ca="1">IF(VLOOKUP(B132,Mrz!B:AZ,22,FALSE)&lt;&gt;0,VLOOKUP(B132,Mrz!B:AZ,22,FALSE),"")</f>
        <v/>
      </c>
      <c r="N132" s="327"/>
    </row>
    <row r="133" spans="2:14" x14ac:dyDescent="0.25">
      <c r="B133" s="245">
        <f>Mrz!F23</f>
        <v>42078</v>
      </c>
      <c r="C133" s="35">
        <f t="shared" si="1"/>
        <v>42078</v>
      </c>
      <c r="D133" s="17" t="str">
        <f>IF(AND(VLOOKUP(B133,Mrz!B:AZ,8,FALSE)&gt;0,VLOOKUP(B133,Mrz!B:AZ,6,FALSE)=""), CONCATENATE(TEXT(VLOOKUP(B133,Mrz!B:AZ,7,FALSE),"hh:mm"), "-", TEXT(VLOOKUP(B133,Mrz!B:AZ,8,FALSE),"[hh]:mm")," Uhr ", IF(VLOOKUP(B133,Mrz!B:AZ,12,FALSE)&gt;0, CONCATENATE("und ",TEXT(VLOOKUP(B133,Mrz!B:AZ,12,FALSE),"hh:mm"), "-", TEXT(VLOOKUP(B133,Mrz!B:AZ,13,FALSE),"[hh]:mm")," Uhr "),"")), IF(VLOOKUP(B133,Mrz!B:AZ,6,FALSE)="","",VLOOKUP(VLOOKUP(B133,Mrz!B:AZ,6,FALSE),Legende_Code,2,FALSE)))</f>
        <v/>
      </c>
      <c r="E133" s="16" t="str">
        <f>IF(AND(VLOOKUP(B133,Mrz!B:AZ,6,FALSE)="", WEEKDAY(B133,2)=6,VLOOKUP(B133,Mrz!B:AZ,48,FALSE)&gt;0),VLOOKUP(B133,Mrz!B:AZ,48,FALSE)*24,"")</f>
        <v/>
      </c>
      <c r="F133" s="16" t="str">
        <f>IF(AND(VLOOKUP(B133,Mrz!B:AZ,6,FALSE)="", WEEKDAY(B133,2)=7,VLOOKUP(B133,Mrz!B:AZ,49,FALSE)&gt;0),VLOOKUP(B133,Mrz!B:AZ,49,FALSE)*24,"")</f>
        <v/>
      </c>
      <c r="G133" s="16" t="str">
        <f>IF(AND(VLOOKUP(B133,Mrz!B:AZ,6,FALSE)="",VLOOKUP(B133,Mrz!B:AZ,46,FALSE)&gt;0),VLOOKUP(B133,Mrz!B:AZ,46,FALSE)*24,"")</f>
        <v/>
      </c>
      <c r="H133" s="36" t="str">
        <f>IF(AND(VLOOKUP(B133,Mrz!B:AZ,6,FALSE)="",VLOOKUP(B133,Mrz!B:AZ,50,FALSE)&gt;0),VLOOKUP(B133,Mrz!B:AZ,50,FALSE)*24,"")</f>
        <v/>
      </c>
      <c r="I133" s="30" t="str">
        <f>IF(AND(NETWORKDAYS(B133,B133,Feiertage)=1,VLOOKUP(B133,Mrz!B:AZ,6,FALSE)="U"),"Urlaub","")</f>
        <v/>
      </c>
      <c r="J133" s="34" t="str">
        <f ca="1">IF(AND(VLOOKUP(B133,Mrz!B:AZ,6,FALSE)="",VLOOKUP(B133,Mrz!B:AZ,22,FALSE)&lt;0),"Absetzen von","")</f>
        <v/>
      </c>
      <c r="K133" s="263"/>
      <c r="M133" s="316" t="str">
        <f ca="1">IF(VLOOKUP(B133,Mrz!B:AZ,22,FALSE)&lt;&gt;0,VLOOKUP(B133,Mrz!B:AZ,22,FALSE),"")</f>
        <v/>
      </c>
      <c r="N133" s="327"/>
    </row>
    <row r="134" spans="2:14" x14ac:dyDescent="0.25">
      <c r="B134" s="245">
        <f>Mrz!F24</f>
        <v>42079</v>
      </c>
      <c r="C134" s="35">
        <f t="shared" si="1"/>
        <v>42079</v>
      </c>
      <c r="D134" s="17" t="str">
        <f>IF(AND(VLOOKUP(B134,Mrz!B:AZ,8,FALSE)&gt;0,VLOOKUP(B134,Mrz!B:AZ,6,FALSE)=""), CONCATENATE(TEXT(VLOOKUP(B134,Mrz!B:AZ,7,FALSE),"hh:mm"), "-", TEXT(VLOOKUP(B134,Mrz!B:AZ,8,FALSE),"[hh]:mm")," Uhr ", IF(VLOOKUP(B134,Mrz!B:AZ,12,FALSE)&gt;0, CONCATENATE("und ",TEXT(VLOOKUP(B134,Mrz!B:AZ,12,FALSE),"hh:mm"), "-", TEXT(VLOOKUP(B134,Mrz!B:AZ,13,FALSE),"[hh]:mm")," Uhr "),"")), IF(VLOOKUP(B134,Mrz!B:AZ,6,FALSE)="","",VLOOKUP(VLOOKUP(B134,Mrz!B:AZ,6,FALSE),Legende_Code,2,FALSE)))</f>
        <v/>
      </c>
      <c r="E134" s="16" t="str">
        <f>IF(AND(VLOOKUP(B134,Mrz!B:AZ,6,FALSE)="", WEEKDAY(B134,2)=6,VLOOKUP(B134,Mrz!B:AZ,48,FALSE)&gt;0),VLOOKUP(B134,Mrz!B:AZ,48,FALSE)*24,"")</f>
        <v/>
      </c>
      <c r="F134" s="16" t="str">
        <f>IF(AND(VLOOKUP(B134,Mrz!B:AZ,6,FALSE)="", WEEKDAY(B134,2)=7,VLOOKUP(B134,Mrz!B:AZ,49,FALSE)&gt;0),VLOOKUP(B134,Mrz!B:AZ,49,FALSE)*24,"")</f>
        <v/>
      </c>
      <c r="G134" s="16" t="str">
        <f>IF(AND(VLOOKUP(B134,Mrz!B:AZ,6,FALSE)="",VLOOKUP(B134,Mrz!B:AZ,46,FALSE)&gt;0),VLOOKUP(B134,Mrz!B:AZ,46,FALSE)*24,"")</f>
        <v/>
      </c>
      <c r="H134" s="36" t="str">
        <f>IF(AND(VLOOKUP(B134,Mrz!B:AZ,6,FALSE)="",VLOOKUP(B134,Mrz!B:AZ,50,FALSE)&gt;0),VLOOKUP(B134,Mrz!B:AZ,50,FALSE)*24,"")</f>
        <v/>
      </c>
      <c r="I134" s="30" t="str">
        <f>IF(AND(NETWORKDAYS(B134,B134,Feiertage)=1,VLOOKUP(B134,Mrz!B:AZ,6,FALSE)="U"),"Urlaub","")</f>
        <v/>
      </c>
      <c r="J134" s="34" t="str">
        <f ca="1">IF(AND(VLOOKUP(B134,Mrz!B:AZ,6,FALSE)="",VLOOKUP(B134,Mrz!B:AZ,22,FALSE)&lt;0),"Absetzen von","")</f>
        <v/>
      </c>
      <c r="K134" s="263"/>
      <c r="M134" s="316" t="str">
        <f ca="1">IF(VLOOKUP(B134,Mrz!B:AZ,22,FALSE)&lt;&gt;0,VLOOKUP(B134,Mrz!B:AZ,22,FALSE),"")</f>
        <v/>
      </c>
      <c r="N134" s="327"/>
    </row>
    <row r="135" spans="2:14" x14ac:dyDescent="0.25">
      <c r="B135" s="245">
        <f>Mrz!F25</f>
        <v>42080</v>
      </c>
      <c r="C135" s="35">
        <f t="shared" si="1"/>
        <v>42080</v>
      </c>
      <c r="D135" s="17" t="str">
        <f>IF(AND(VLOOKUP(B135,Mrz!B:AZ,8,FALSE)&gt;0,VLOOKUP(B135,Mrz!B:AZ,6,FALSE)=""), CONCATENATE(TEXT(VLOOKUP(B135,Mrz!B:AZ,7,FALSE),"hh:mm"), "-", TEXT(VLOOKUP(B135,Mrz!B:AZ,8,FALSE),"[hh]:mm")," Uhr ", IF(VLOOKUP(B135,Mrz!B:AZ,12,FALSE)&gt;0, CONCATENATE("und ",TEXT(VLOOKUP(B135,Mrz!B:AZ,12,FALSE),"hh:mm"), "-", TEXT(VLOOKUP(B135,Mrz!B:AZ,13,FALSE),"[hh]:mm")," Uhr "),"")), IF(VLOOKUP(B135,Mrz!B:AZ,6,FALSE)="","",VLOOKUP(VLOOKUP(B135,Mrz!B:AZ,6,FALSE),Legende_Code,2,FALSE)))</f>
        <v/>
      </c>
      <c r="E135" s="16" t="str">
        <f>IF(AND(VLOOKUP(B135,Mrz!B:AZ,6,FALSE)="", WEEKDAY(B135,2)=6,VLOOKUP(B135,Mrz!B:AZ,48,FALSE)&gt;0),VLOOKUP(B135,Mrz!B:AZ,48,FALSE)*24,"")</f>
        <v/>
      </c>
      <c r="F135" s="16" t="str">
        <f>IF(AND(VLOOKUP(B135,Mrz!B:AZ,6,FALSE)="", WEEKDAY(B135,2)=7,VLOOKUP(B135,Mrz!B:AZ,49,FALSE)&gt;0),VLOOKUP(B135,Mrz!B:AZ,49,FALSE)*24,"")</f>
        <v/>
      </c>
      <c r="G135" s="16" t="str">
        <f>IF(AND(VLOOKUP(B135,Mrz!B:AZ,6,FALSE)="",VLOOKUP(B135,Mrz!B:AZ,46,FALSE)&gt;0),VLOOKUP(B135,Mrz!B:AZ,46,FALSE)*24,"")</f>
        <v/>
      </c>
      <c r="H135" s="36" t="str">
        <f>IF(AND(VLOOKUP(B135,Mrz!B:AZ,6,FALSE)="",VLOOKUP(B135,Mrz!B:AZ,50,FALSE)&gt;0),VLOOKUP(B135,Mrz!B:AZ,50,FALSE)*24,"")</f>
        <v/>
      </c>
      <c r="I135" s="30" t="str">
        <f>IF(AND(NETWORKDAYS(B135,B135,Feiertage)=1,VLOOKUP(B135,Mrz!B:AZ,6,FALSE)="U"),"Urlaub","")</f>
        <v/>
      </c>
      <c r="J135" s="34" t="str">
        <f ca="1">IF(AND(VLOOKUP(B135,Mrz!B:AZ,6,FALSE)="",VLOOKUP(B135,Mrz!B:AZ,22,FALSE)&lt;0),"Absetzen von","")</f>
        <v/>
      </c>
      <c r="K135" s="263"/>
      <c r="M135" s="316" t="str">
        <f ca="1">IF(VLOOKUP(B135,Mrz!B:AZ,22,FALSE)&lt;&gt;0,VLOOKUP(B135,Mrz!B:AZ,22,FALSE),"")</f>
        <v/>
      </c>
      <c r="N135" s="327"/>
    </row>
    <row r="136" spans="2:14" x14ac:dyDescent="0.25">
      <c r="B136" s="245">
        <f>Mrz!F26</f>
        <v>42081</v>
      </c>
      <c r="C136" s="35">
        <f t="shared" si="1"/>
        <v>42081</v>
      </c>
      <c r="D136" s="17" t="str">
        <f>IF(AND(VLOOKUP(B136,Mrz!B:AZ,8,FALSE)&gt;0,VLOOKUP(B136,Mrz!B:AZ,6,FALSE)=""), CONCATENATE(TEXT(VLOOKUP(B136,Mrz!B:AZ,7,FALSE),"hh:mm"), "-", TEXT(VLOOKUP(B136,Mrz!B:AZ,8,FALSE),"[hh]:mm")," Uhr ", IF(VLOOKUP(B136,Mrz!B:AZ,12,FALSE)&gt;0, CONCATENATE("und ",TEXT(VLOOKUP(B136,Mrz!B:AZ,12,FALSE),"hh:mm"), "-", TEXT(VLOOKUP(B136,Mrz!B:AZ,13,FALSE),"[hh]:mm")," Uhr "),"")), IF(VLOOKUP(B136,Mrz!B:AZ,6,FALSE)="","",VLOOKUP(VLOOKUP(B136,Mrz!B:AZ,6,FALSE),Legende_Code,2,FALSE)))</f>
        <v/>
      </c>
      <c r="E136" s="16" t="str">
        <f>IF(AND(VLOOKUP(B136,Mrz!B:AZ,6,FALSE)="", WEEKDAY(B136,2)=6,VLOOKUP(B136,Mrz!B:AZ,48,FALSE)&gt;0),VLOOKUP(B136,Mrz!B:AZ,48,FALSE)*24,"")</f>
        <v/>
      </c>
      <c r="F136" s="16" t="str">
        <f>IF(AND(VLOOKUP(B136,Mrz!B:AZ,6,FALSE)="", WEEKDAY(B136,2)=7,VLOOKUP(B136,Mrz!B:AZ,49,FALSE)&gt;0),VLOOKUP(B136,Mrz!B:AZ,49,FALSE)*24,"")</f>
        <v/>
      </c>
      <c r="G136" s="16" t="str">
        <f>IF(AND(VLOOKUP(B136,Mrz!B:AZ,6,FALSE)="",VLOOKUP(B136,Mrz!B:AZ,46,FALSE)&gt;0),VLOOKUP(B136,Mrz!B:AZ,46,FALSE)*24,"")</f>
        <v/>
      </c>
      <c r="H136" s="36" t="str">
        <f>IF(AND(VLOOKUP(B136,Mrz!B:AZ,6,FALSE)="",VLOOKUP(B136,Mrz!B:AZ,50,FALSE)&gt;0),VLOOKUP(B136,Mrz!B:AZ,50,FALSE)*24,"")</f>
        <v/>
      </c>
      <c r="I136" s="30" t="str">
        <f>IF(AND(NETWORKDAYS(B136,B136,Feiertage)=1,VLOOKUP(B136,Mrz!B:AZ,6,FALSE)="U"),"Urlaub","")</f>
        <v/>
      </c>
      <c r="J136" s="34" t="str">
        <f ca="1">IF(AND(VLOOKUP(B136,Mrz!B:AZ,6,FALSE)="",VLOOKUP(B136,Mrz!B:AZ,22,FALSE)&lt;0),"Absetzen von","")</f>
        <v/>
      </c>
      <c r="K136" s="263"/>
      <c r="M136" s="316" t="str">
        <f ca="1">IF(VLOOKUP(B136,Mrz!B:AZ,22,FALSE)&lt;&gt;0,VLOOKUP(B136,Mrz!B:AZ,22,FALSE),"")</f>
        <v/>
      </c>
      <c r="N136" s="327"/>
    </row>
    <row r="137" spans="2:14" x14ac:dyDescent="0.25">
      <c r="B137" s="245">
        <f>Mrz!F27</f>
        <v>42082</v>
      </c>
      <c r="C137" s="35">
        <f t="shared" si="1"/>
        <v>42082</v>
      </c>
      <c r="D137" s="17" t="str">
        <f>IF(AND(VLOOKUP(B137,Mrz!B:AZ,8,FALSE)&gt;0,VLOOKUP(B137,Mrz!B:AZ,6,FALSE)=""), CONCATENATE(TEXT(VLOOKUP(B137,Mrz!B:AZ,7,FALSE),"hh:mm"), "-", TEXT(VLOOKUP(B137,Mrz!B:AZ,8,FALSE),"[hh]:mm")," Uhr ", IF(VLOOKUP(B137,Mrz!B:AZ,12,FALSE)&gt;0, CONCATENATE("und ",TEXT(VLOOKUP(B137,Mrz!B:AZ,12,FALSE),"hh:mm"), "-", TEXT(VLOOKUP(B137,Mrz!B:AZ,13,FALSE),"[hh]:mm")," Uhr "),"")), IF(VLOOKUP(B137,Mrz!B:AZ,6,FALSE)="","",VLOOKUP(VLOOKUP(B137,Mrz!B:AZ,6,FALSE),Legende_Code,2,FALSE)))</f>
        <v/>
      </c>
      <c r="E137" s="16" t="str">
        <f>IF(AND(VLOOKUP(B137,Mrz!B:AZ,6,FALSE)="", WEEKDAY(B137,2)=6,VLOOKUP(B137,Mrz!B:AZ,48,FALSE)&gt;0),VLOOKUP(B137,Mrz!B:AZ,48,FALSE)*24,"")</f>
        <v/>
      </c>
      <c r="F137" s="16" t="str">
        <f>IF(AND(VLOOKUP(B137,Mrz!B:AZ,6,FALSE)="", WEEKDAY(B137,2)=7,VLOOKUP(B137,Mrz!B:AZ,49,FALSE)&gt;0),VLOOKUP(B137,Mrz!B:AZ,49,FALSE)*24,"")</f>
        <v/>
      </c>
      <c r="G137" s="16" t="str">
        <f>IF(AND(VLOOKUP(B137,Mrz!B:AZ,6,FALSE)="",VLOOKUP(B137,Mrz!B:AZ,46,FALSE)&gt;0),VLOOKUP(B137,Mrz!B:AZ,46,FALSE)*24,"")</f>
        <v/>
      </c>
      <c r="H137" s="36" t="str">
        <f>IF(AND(VLOOKUP(B137,Mrz!B:AZ,6,FALSE)="",VLOOKUP(B137,Mrz!B:AZ,50,FALSE)&gt;0),VLOOKUP(B137,Mrz!B:AZ,50,FALSE)*24,"")</f>
        <v/>
      </c>
      <c r="I137" s="30" t="str">
        <f>IF(AND(NETWORKDAYS(B137,B137,Feiertage)=1,VLOOKUP(B137,Mrz!B:AZ,6,FALSE)="U"),"Urlaub","")</f>
        <v/>
      </c>
      <c r="J137" s="34" t="str">
        <f ca="1">IF(AND(VLOOKUP(B137,Mrz!B:AZ,6,FALSE)="",VLOOKUP(B137,Mrz!B:AZ,22,FALSE)&lt;0),"Absetzen von","")</f>
        <v/>
      </c>
      <c r="K137" s="263"/>
      <c r="M137" s="316" t="str">
        <f ca="1">IF(VLOOKUP(B137,Mrz!B:AZ,22,FALSE)&lt;&gt;0,VLOOKUP(B137,Mrz!B:AZ,22,FALSE),"")</f>
        <v/>
      </c>
      <c r="N137" s="327"/>
    </row>
    <row r="138" spans="2:14" x14ac:dyDescent="0.25">
      <c r="B138" s="245">
        <f>Mrz!F28</f>
        <v>42083</v>
      </c>
      <c r="C138" s="35">
        <f t="shared" si="1"/>
        <v>42083</v>
      </c>
      <c r="D138" s="17" t="str">
        <f>IF(AND(VLOOKUP(B138,Mrz!B:AZ,8,FALSE)&gt;0,VLOOKUP(B138,Mrz!B:AZ,6,FALSE)=""), CONCATENATE(TEXT(VLOOKUP(B138,Mrz!B:AZ,7,FALSE),"hh:mm"), "-", TEXT(VLOOKUP(B138,Mrz!B:AZ,8,FALSE),"[hh]:mm")," Uhr ", IF(VLOOKUP(B138,Mrz!B:AZ,12,FALSE)&gt;0, CONCATENATE("und ",TEXT(VLOOKUP(B138,Mrz!B:AZ,12,FALSE),"hh:mm"), "-", TEXT(VLOOKUP(B138,Mrz!B:AZ,13,FALSE),"[hh]:mm")," Uhr "),"")), IF(VLOOKUP(B138,Mrz!B:AZ,6,FALSE)="","",VLOOKUP(VLOOKUP(B138,Mrz!B:AZ,6,FALSE),Legende_Code,2,FALSE)))</f>
        <v/>
      </c>
      <c r="E138" s="16" t="str">
        <f>IF(AND(VLOOKUP(B138,Mrz!B:AZ,6,FALSE)="", WEEKDAY(B138,2)=6,VLOOKUP(B138,Mrz!B:AZ,48,FALSE)&gt;0),VLOOKUP(B138,Mrz!B:AZ,48,FALSE)*24,"")</f>
        <v/>
      </c>
      <c r="F138" s="16" t="str">
        <f>IF(AND(VLOOKUP(B138,Mrz!B:AZ,6,FALSE)="", WEEKDAY(B138,2)=7,VLOOKUP(B138,Mrz!B:AZ,49,FALSE)&gt;0),VLOOKUP(B138,Mrz!B:AZ,49,FALSE)*24,"")</f>
        <v/>
      </c>
      <c r="G138" s="16" t="str">
        <f>IF(AND(VLOOKUP(B138,Mrz!B:AZ,6,FALSE)="",VLOOKUP(B138,Mrz!B:AZ,46,FALSE)&gt;0),VLOOKUP(B138,Mrz!B:AZ,46,FALSE)*24,"")</f>
        <v/>
      </c>
      <c r="H138" s="36" t="str">
        <f>IF(AND(VLOOKUP(B138,Mrz!B:AZ,6,FALSE)="",VLOOKUP(B138,Mrz!B:AZ,50,FALSE)&gt;0),VLOOKUP(B138,Mrz!B:AZ,50,FALSE)*24,"")</f>
        <v/>
      </c>
      <c r="I138" s="30" t="str">
        <f>IF(AND(NETWORKDAYS(B138,B138,Feiertage)=1,VLOOKUP(B138,Mrz!B:AZ,6,FALSE)="U"),"Urlaub","")</f>
        <v/>
      </c>
      <c r="J138" s="34" t="str">
        <f ca="1">IF(AND(VLOOKUP(B138,Mrz!B:AZ,6,FALSE)="",VLOOKUP(B138,Mrz!B:AZ,22,FALSE)&lt;0),"Absetzen von","")</f>
        <v/>
      </c>
      <c r="K138" s="263"/>
      <c r="M138" s="316" t="str">
        <f ca="1">IF(VLOOKUP(B138,Mrz!B:AZ,22,FALSE)&lt;&gt;0,VLOOKUP(B138,Mrz!B:AZ,22,FALSE),"")</f>
        <v/>
      </c>
      <c r="N138" s="327"/>
    </row>
    <row r="139" spans="2:14" x14ac:dyDescent="0.25">
      <c r="B139" s="245">
        <f>Mrz!F29</f>
        <v>42084</v>
      </c>
      <c r="C139" s="35">
        <f t="shared" si="1"/>
        <v>42084</v>
      </c>
      <c r="D139" s="17" t="str">
        <f>IF(AND(VLOOKUP(B139,Mrz!B:AZ,8,FALSE)&gt;0,VLOOKUP(B139,Mrz!B:AZ,6,FALSE)=""), CONCATENATE(TEXT(VLOOKUP(B139,Mrz!B:AZ,7,FALSE),"hh:mm"), "-", TEXT(VLOOKUP(B139,Mrz!B:AZ,8,FALSE),"[hh]:mm")," Uhr ", IF(VLOOKUP(B139,Mrz!B:AZ,12,FALSE)&gt;0, CONCATENATE("und ",TEXT(VLOOKUP(B139,Mrz!B:AZ,12,FALSE),"hh:mm"), "-", TEXT(VLOOKUP(B139,Mrz!B:AZ,13,FALSE),"[hh]:mm")," Uhr "),"")), IF(VLOOKUP(B139,Mrz!B:AZ,6,FALSE)="","",VLOOKUP(VLOOKUP(B139,Mrz!B:AZ,6,FALSE),Legende_Code,2,FALSE)))</f>
        <v/>
      </c>
      <c r="E139" s="16" t="str">
        <f>IF(AND(VLOOKUP(B139,Mrz!B:AZ,6,FALSE)="", WEEKDAY(B139,2)=6,VLOOKUP(B139,Mrz!B:AZ,48,FALSE)&gt;0),VLOOKUP(B139,Mrz!B:AZ,48,FALSE)*24,"")</f>
        <v/>
      </c>
      <c r="F139" s="16" t="str">
        <f>IF(AND(VLOOKUP(B139,Mrz!B:AZ,6,FALSE)="", WEEKDAY(B139,2)=7,VLOOKUP(B139,Mrz!B:AZ,49,FALSE)&gt;0),VLOOKUP(B139,Mrz!B:AZ,49,FALSE)*24,"")</f>
        <v/>
      </c>
      <c r="G139" s="16" t="str">
        <f>IF(AND(VLOOKUP(B139,Mrz!B:AZ,6,FALSE)="",VLOOKUP(B139,Mrz!B:AZ,46,FALSE)&gt;0),VLOOKUP(B139,Mrz!B:AZ,46,FALSE)*24,"")</f>
        <v/>
      </c>
      <c r="H139" s="36" t="str">
        <f>IF(AND(VLOOKUP(B139,Mrz!B:AZ,6,FALSE)="",VLOOKUP(B139,Mrz!B:AZ,50,FALSE)&gt;0),VLOOKUP(B139,Mrz!B:AZ,50,FALSE)*24,"")</f>
        <v/>
      </c>
      <c r="I139" s="30" t="str">
        <f>IF(AND(NETWORKDAYS(B139,B139,Feiertage)=1,VLOOKUP(B139,Mrz!B:AZ,6,FALSE)="U"),"Urlaub","")</f>
        <v/>
      </c>
      <c r="J139" s="34" t="str">
        <f ca="1">IF(AND(VLOOKUP(B139,Mrz!B:AZ,6,FALSE)="",VLOOKUP(B139,Mrz!B:AZ,22,FALSE)&lt;0),"Absetzen von","")</f>
        <v/>
      </c>
      <c r="K139" s="263"/>
      <c r="M139" s="316" t="str">
        <f ca="1">IF(VLOOKUP(B139,Mrz!B:AZ,22,FALSE)&lt;&gt;0,VLOOKUP(B139,Mrz!B:AZ,22,FALSE),"")</f>
        <v/>
      </c>
      <c r="N139" s="327"/>
    </row>
    <row r="140" spans="2:14" x14ac:dyDescent="0.25">
      <c r="B140" s="245">
        <f>Mrz!F30</f>
        <v>42085</v>
      </c>
      <c r="C140" s="35">
        <f t="shared" si="1"/>
        <v>42085</v>
      </c>
      <c r="D140" s="17" t="str">
        <f>IF(AND(VLOOKUP(B140,Mrz!B:AZ,8,FALSE)&gt;0,VLOOKUP(B140,Mrz!B:AZ,6,FALSE)=""), CONCATENATE(TEXT(VLOOKUP(B140,Mrz!B:AZ,7,FALSE),"hh:mm"), "-", TEXT(VLOOKUP(B140,Mrz!B:AZ,8,FALSE),"[hh]:mm")," Uhr ", IF(VLOOKUP(B140,Mrz!B:AZ,12,FALSE)&gt;0, CONCATENATE("und ",TEXT(VLOOKUP(B140,Mrz!B:AZ,12,FALSE),"hh:mm"), "-", TEXT(VLOOKUP(B140,Mrz!B:AZ,13,FALSE),"[hh]:mm")," Uhr "),"")), IF(VLOOKUP(B140,Mrz!B:AZ,6,FALSE)="","",VLOOKUP(VLOOKUP(B140,Mrz!B:AZ,6,FALSE),Legende_Code,2,FALSE)))</f>
        <v/>
      </c>
      <c r="E140" s="16" t="str">
        <f>IF(AND(VLOOKUP(B140,Mrz!B:AZ,6,FALSE)="", WEEKDAY(B140,2)=6,VLOOKUP(B140,Mrz!B:AZ,48,FALSE)&gt;0),VLOOKUP(B140,Mrz!B:AZ,48,FALSE)*24,"")</f>
        <v/>
      </c>
      <c r="F140" s="16" t="str">
        <f>IF(AND(VLOOKUP(B140,Mrz!B:AZ,6,FALSE)="", WEEKDAY(B140,2)=7,VLOOKUP(B140,Mrz!B:AZ,49,FALSE)&gt;0),VLOOKUP(B140,Mrz!B:AZ,49,FALSE)*24,"")</f>
        <v/>
      </c>
      <c r="G140" s="16" t="str">
        <f>IF(AND(VLOOKUP(B140,Mrz!B:AZ,6,FALSE)="",VLOOKUP(B140,Mrz!B:AZ,46,FALSE)&gt;0),VLOOKUP(B140,Mrz!B:AZ,46,FALSE)*24,"")</f>
        <v/>
      </c>
      <c r="H140" s="36" t="str">
        <f>IF(AND(VLOOKUP(B140,Mrz!B:AZ,6,FALSE)="",VLOOKUP(B140,Mrz!B:AZ,50,FALSE)&gt;0),VLOOKUP(B140,Mrz!B:AZ,50,FALSE)*24,"")</f>
        <v/>
      </c>
      <c r="I140" s="30" t="str">
        <f>IF(AND(NETWORKDAYS(B140,B140,Feiertage)=1,VLOOKUP(B140,Mrz!B:AZ,6,FALSE)="U"),"Urlaub","")</f>
        <v/>
      </c>
      <c r="J140" s="34" t="str">
        <f ca="1">IF(AND(VLOOKUP(B140,Mrz!B:AZ,6,FALSE)="",VLOOKUP(B140,Mrz!B:AZ,22,FALSE)&lt;0),"Absetzen von","")</f>
        <v/>
      </c>
      <c r="K140" s="263"/>
      <c r="M140" s="316" t="str">
        <f ca="1">IF(VLOOKUP(B140,Mrz!B:AZ,22,FALSE)&lt;&gt;0,VLOOKUP(B140,Mrz!B:AZ,22,FALSE),"")</f>
        <v/>
      </c>
      <c r="N140" s="327"/>
    </row>
    <row r="141" spans="2:14" x14ac:dyDescent="0.25">
      <c r="B141" s="245">
        <f>Mrz!F31</f>
        <v>42086</v>
      </c>
      <c r="C141" s="35">
        <f t="shared" si="1"/>
        <v>42086</v>
      </c>
      <c r="D141" s="17" t="str">
        <f>IF(AND(VLOOKUP(B141,Mrz!B:AZ,8,FALSE)&gt;0,VLOOKUP(B141,Mrz!B:AZ,6,FALSE)=""), CONCATENATE(TEXT(VLOOKUP(B141,Mrz!B:AZ,7,FALSE),"hh:mm"), "-", TEXT(VLOOKUP(B141,Mrz!B:AZ,8,FALSE),"[hh]:mm")," Uhr ", IF(VLOOKUP(B141,Mrz!B:AZ,12,FALSE)&gt;0, CONCATENATE("und ",TEXT(VLOOKUP(B141,Mrz!B:AZ,12,FALSE),"hh:mm"), "-", TEXT(VLOOKUP(B141,Mrz!B:AZ,13,FALSE),"[hh]:mm")," Uhr "),"")), IF(VLOOKUP(B141,Mrz!B:AZ,6,FALSE)="","",VLOOKUP(VLOOKUP(B141,Mrz!B:AZ,6,FALSE),Legende_Code,2,FALSE)))</f>
        <v/>
      </c>
      <c r="E141" s="16" t="str">
        <f>IF(AND(VLOOKUP(B141,Mrz!B:AZ,6,FALSE)="", WEEKDAY(B141,2)=6,VLOOKUP(B141,Mrz!B:AZ,48,FALSE)&gt;0),VLOOKUP(B141,Mrz!B:AZ,48,FALSE)*24,"")</f>
        <v/>
      </c>
      <c r="F141" s="16" t="str">
        <f>IF(AND(VLOOKUP(B141,Mrz!B:AZ,6,FALSE)="", WEEKDAY(B141,2)=7,VLOOKUP(B141,Mrz!B:AZ,49,FALSE)&gt;0),VLOOKUP(B141,Mrz!B:AZ,49,FALSE)*24,"")</f>
        <v/>
      </c>
      <c r="G141" s="16" t="str">
        <f>IF(AND(VLOOKUP(B141,Mrz!B:AZ,6,FALSE)="",VLOOKUP(B141,Mrz!B:AZ,46,FALSE)&gt;0),VLOOKUP(B141,Mrz!B:AZ,46,FALSE)*24,"")</f>
        <v/>
      </c>
      <c r="H141" s="36" t="str">
        <f>IF(AND(VLOOKUP(B141,Mrz!B:AZ,6,FALSE)="",VLOOKUP(B141,Mrz!B:AZ,50,FALSE)&gt;0),VLOOKUP(B141,Mrz!B:AZ,50,FALSE)*24,"")</f>
        <v/>
      </c>
      <c r="I141" s="30" t="str">
        <f>IF(AND(NETWORKDAYS(B141,B141,Feiertage)=1,VLOOKUP(B141,Mrz!B:AZ,6,FALSE)="U"),"Urlaub","")</f>
        <v/>
      </c>
      <c r="J141" s="34" t="str">
        <f ca="1">IF(AND(VLOOKUP(B141,Mrz!B:AZ,6,FALSE)="",VLOOKUP(B141,Mrz!B:AZ,22,FALSE)&lt;0),"Absetzen von","")</f>
        <v/>
      </c>
      <c r="K141" s="263"/>
      <c r="M141" s="316" t="str">
        <f ca="1">IF(VLOOKUP(B141,Mrz!B:AZ,22,FALSE)&lt;&gt;0,VLOOKUP(B141,Mrz!B:AZ,22,FALSE),"")</f>
        <v/>
      </c>
      <c r="N141" s="327"/>
    </row>
    <row r="142" spans="2:14" x14ac:dyDescent="0.25">
      <c r="B142" s="245">
        <f>Mrz!F32</f>
        <v>42087</v>
      </c>
      <c r="C142" s="35">
        <f t="shared" si="1"/>
        <v>42087</v>
      </c>
      <c r="D142" s="17" t="str">
        <f>IF(AND(VLOOKUP(B142,Mrz!B:AZ,8,FALSE)&gt;0,VLOOKUP(B142,Mrz!B:AZ,6,FALSE)=""), CONCATENATE(TEXT(VLOOKUP(B142,Mrz!B:AZ,7,FALSE),"hh:mm"), "-", TEXT(VLOOKUP(B142,Mrz!B:AZ,8,FALSE),"[hh]:mm")," Uhr ", IF(VLOOKUP(B142,Mrz!B:AZ,12,FALSE)&gt;0, CONCATENATE("und ",TEXT(VLOOKUP(B142,Mrz!B:AZ,12,FALSE),"hh:mm"), "-", TEXT(VLOOKUP(B142,Mrz!B:AZ,13,FALSE),"[hh]:mm")," Uhr "),"")), IF(VLOOKUP(B142,Mrz!B:AZ,6,FALSE)="","",VLOOKUP(VLOOKUP(B142,Mrz!B:AZ,6,FALSE),Legende_Code,2,FALSE)))</f>
        <v/>
      </c>
      <c r="E142" s="16" t="str">
        <f>IF(AND(VLOOKUP(B142,Mrz!B:AZ,6,FALSE)="", WEEKDAY(B142,2)=6,VLOOKUP(B142,Mrz!B:AZ,48,FALSE)&gt;0),VLOOKUP(B142,Mrz!B:AZ,48,FALSE)*24,"")</f>
        <v/>
      </c>
      <c r="F142" s="16" t="str">
        <f>IF(AND(VLOOKUP(B142,Mrz!B:AZ,6,FALSE)="", WEEKDAY(B142,2)=7,VLOOKUP(B142,Mrz!B:AZ,49,FALSE)&gt;0),VLOOKUP(B142,Mrz!B:AZ,49,FALSE)*24,"")</f>
        <v/>
      </c>
      <c r="G142" s="16" t="str">
        <f>IF(AND(VLOOKUP(B142,Mrz!B:AZ,6,FALSE)="",VLOOKUP(B142,Mrz!B:AZ,46,FALSE)&gt;0),VLOOKUP(B142,Mrz!B:AZ,46,FALSE)*24,"")</f>
        <v/>
      </c>
      <c r="H142" s="36" t="str">
        <f>IF(AND(VLOOKUP(B142,Mrz!B:AZ,6,FALSE)="",VLOOKUP(B142,Mrz!B:AZ,50,FALSE)&gt;0),VLOOKUP(B142,Mrz!B:AZ,50,FALSE)*24,"")</f>
        <v/>
      </c>
      <c r="I142" s="30" t="str">
        <f>IF(AND(NETWORKDAYS(B142,B142,Feiertage)=1,VLOOKUP(B142,Mrz!B:AZ,6,FALSE)="U"),"Urlaub","")</f>
        <v/>
      </c>
      <c r="J142" s="34" t="str">
        <f ca="1">IF(AND(VLOOKUP(B142,Mrz!B:AZ,6,FALSE)="",VLOOKUP(B142,Mrz!B:AZ,22,FALSE)&lt;0),"Absetzen von","")</f>
        <v/>
      </c>
      <c r="K142" s="263"/>
      <c r="M142" s="316" t="str">
        <f ca="1">IF(VLOOKUP(B142,Mrz!B:AZ,22,FALSE)&lt;&gt;0,VLOOKUP(B142,Mrz!B:AZ,22,FALSE),"")</f>
        <v/>
      </c>
      <c r="N142" s="327"/>
    </row>
    <row r="143" spans="2:14" x14ac:dyDescent="0.25">
      <c r="B143" s="245">
        <f>Mrz!F33</f>
        <v>42088</v>
      </c>
      <c r="C143" s="35">
        <f t="shared" si="1"/>
        <v>42088</v>
      </c>
      <c r="D143" s="17" t="str">
        <f>IF(AND(VLOOKUP(B143,Mrz!B:AZ,8,FALSE)&gt;0,VLOOKUP(B143,Mrz!B:AZ,6,FALSE)=""), CONCATENATE(TEXT(VLOOKUP(B143,Mrz!B:AZ,7,FALSE),"hh:mm"), "-", TEXT(VLOOKUP(B143,Mrz!B:AZ,8,FALSE),"[hh]:mm")," Uhr ", IF(VLOOKUP(B143,Mrz!B:AZ,12,FALSE)&gt;0, CONCATENATE("und ",TEXT(VLOOKUP(B143,Mrz!B:AZ,12,FALSE),"hh:mm"), "-", TEXT(VLOOKUP(B143,Mrz!B:AZ,13,FALSE),"[hh]:mm")," Uhr "),"")), IF(VLOOKUP(B143,Mrz!B:AZ,6,FALSE)="","",VLOOKUP(VLOOKUP(B143,Mrz!B:AZ,6,FALSE),Legende_Code,2,FALSE)))</f>
        <v/>
      </c>
      <c r="E143" s="16" t="str">
        <f>IF(AND(VLOOKUP(B143,Mrz!B:AZ,6,FALSE)="", WEEKDAY(B143,2)=6,VLOOKUP(B143,Mrz!B:AZ,48,FALSE)&gt;0),VLOOKUP(B143,Mrz!B:AZ,48,FALSE)*24,"")</f>
        <v/>
      </c>
      <c r="F143" s="16" t="str">
        <f>IF(AND(VLOOKUP(B143,Mrz!B:AZ,6,FALSE)="", WEEKDAY(B143,2)=7,VLOOKUP(B143,Mrz!B:AZ,49,FALSE)&gt;0),VLOOKUP(B143,Mrz!B:AZ,49,FALSE)*24,"")</f>
        <v/>
      </c>
      <c r="G143" s="16" t="str">
        <f>IF(AND(VLOOKUP(B143,Mrz!B:AZ,6,FALSE)="",VLOOKUP(B143,Mrz!B:AZ,46,FALSE)&gt;0),VLOOKUP(B143,Mrz!B:AZ,46,FALSE)*24,"")</f>
        <v/>
      </c>
      <c r="H143" s="36" t="str">
        <f>IF(AND(VLOOKUP(B143,Mrz!B:AZ,6,FALSE)="",VLOOKUP(B143,Mrz!B:AZ,50,FALSE)&gt;0),VLOOKUP(B143,Mrz!B:AZ,50,FALSE)*24,"")</f>
        <v/>
      </c>
      <c r="I143" s="30" t="str">
        <f>IF(AND(NETWORKDAYS(B143,B143,Feiertage)=1,VLOOKUP(B143,Mrz!B:AZ,6,FALSE)="U"),"Urlaub","")</f>
        <v/>
      </c>
      <c r="J143" s="34" t="str">
        <f ca="1">IF(AND(VLOOKUP(B143,Mrz!B:AZ,6,FALSE)="",VLOOKUP(B143,Mrz!B:AZ,22,FALSE)&lt;0),"Absetzen von","")</f>
        <v/>
      </c>
      <c r="K143" s="263"/>
      <c r="M143" s="316" t="str">
        <f ca="1">IF(VLOOKUP(B143,Mrz!B:AZ,22,FALSE)&lt;&gt;0,VLOOKUP(B143,Mrz!B:AZ,22,FALSE),"")</f>
        <v/>
      </c>
      <c r="N143" s="327"/>
    </row>
    <row r="144" spans="2:14" x14ac:dyDescent="0.25">
      <c r="B144" s="245">
        <f>Mrz!F34</f>
        <v>42089</v>
      </c>
      <c r="C144" s="35">
        <f t="shared" si="1"/>
        <v>42089</v>
      </c>
      <c r="D144" s="17" t="str">
        <f>IF(AND(VLOOKUP(B144,Mrz!B:AZ,8,FALSE)&gt;0,VLOOKUP(B144,Mrz!B:AZ,6,FALSE)=""), CONCATENATE(TEXT(VLOOKUP(B144,Mrz!B:AZ,7,FALSE),"hh:mm"), "-", TEXT(VLOOKUP(B144,Mrz!B:AZ,8,FALSE),"[hh]:mm")," Uhr ", IF(VLOOKUP(B144,Mrz!B:AZ,12,FALSE)&gt;0, CONCATENATE("und ",TEXT(VLOOKUP(B144,Mrz!B:AZ,12,FALSE),"hh:mm"), "-", TEXT(VLOOKUP(B144,Mrz!B:AZ,13,FALSE),"[hh]:mm")," Uhr "),"")), IF(VLOOKUP(B144,Mrz!B:AZ,6,FALSE)="","",VLOOKUP(VLOOKUP(B144,Mrz!B:AZ,6,FALSE),Legende_Code,2,FALSE)))</f>
        <v/>
      </c>
      <c r="E144" s="16" t="str">
        <f>IF(AND(VLOOKUP(B144,Mrz!B:AZ,6,FALSE)="", WEEKDAY(B144,2)=6,VLOOKUP(B144,Mrz!B:AZ,48,FALSE)&gt;0),VLOOKUP(B144,Mrz!B:AZ,48,FALSE)*24,"")</f>
        <v/>
      </c>
      <c r="F144" s="16" t="str">
        <f>IF(AND(VLOOKUP(B144,Mrz!B:AZ,6,FALSE)="", WEEKDAY(B144,2)=7,VLOOKUP(B144,Mrz!B:AZ,49,FALSE)&gt;0),VLOOKUP(B144,Mrz!B:AZ,49,FALSE)*24,"")</f>
        <v/>
      </c>
      <c r="G144" s="16" t="str">
        <f>IF(AND(VLOOKUP(B144,Mrz!B:AZ,6,FALSE)="",VLOOKUP(B144,Mrz!B:AZ,46,FALSE)&gt;0),VLOOKUP(B144,Mrz!B:AZ,46,FALSE)*24,"")</f>
        <v/>
      </c>
      <c r="H144" s="36" t="str">
        <f>IF(AND(VLOOKUP(B144,Mrz!B:AZ,6,FALSE)="",VLOOKUP(B144,Mrz!B:AZ,50,FALSE)&gt;0),VLOOKUP(B144,Mrz!B:AZ,50,FALSE)*24,"")</f>
        <v/>
      </c>
      <c r="I144" s="30" t="str">
        <f>IF(AND(NETWORKDAYS(B144,B144,Feiertage)=1,VLOOKUP(B144,Mrz!B:AZ,6,FALSE)="U"),"Urlaub","")</f>
        <v/>
      </c>
      <c r="J144" s="34" t="str">
        <f ca="1">IF(AND(VLOOKUP(B144,Mrz!B:AZ,6,FALSE)="",VLOOKUP(B144,Mrz!B:AZ,22,FALSE)&lt;0),"Absetzen von","")</f>
        <v/>
      </c>
      <c r="K144" s="263"/>
      <c r="M144" s="316" t="str">
        <f ca="1">IF(VLOOKUP(B144,Mrz!B:AZ,22,FALSE)&lt;&gt;0,VLOOKUP(B144,Mrz!B:AZ,22,FALSE),"")</f>
        <v/>
      </c>
      <c r="N144" s="327"/>
    </row>
    <row r="145" spans="1:14" x14ac:dyDescent="0.25">
      <c r="B145" s="245">
        <f>Mrz!F35</f>
        <v>42090</v>
      </c>
      <c r="C145" s="35">
        <f t="shared" si="1"/>
        <v>42090</v>
      </c>
      <c r="D145" s="17" t="str">
        <f>IF(AND(VLOOKUP(B145,Mrz!B:AZ,8,FALSE)&gt;0,VLOOKUP(B145,Mrz!B:AZ,6,FALSE)=""), CONCATENATE(TEXT(VLOOKUP(B145,Mrz!B:AZ,7,FALSE),"hh:mm"), "-", TEXT(VLOOKUP(B145,Mrz!B:AZ,8,FALSE),"[hh]:mm")," Uhr ", IF(VLOOKUP(B145,Mrz!B:AZ,12,FALSE)&gt;0, CONCATENATE("und ",TEXT(VLOOKUP(B145,Mrz!B:AZ,12,FALSE),"hh:mm"), "-", TEXT(VLOOKUP(B145,Mrz!B:AZ,13,FALSE),"[hh]:mm")," Uhr "),"")), IF(VLOOKUP(B145,Mrz!B:AZ,6,FALSE)="","",VLOOKUP(VLOOKUP(B145,Mrz!B:AZ,6,FALSE),Legende_Code,2,FALSE)))</f>
        <v/>
      </c>
      <c r="E145" s="16" t="str">
        <f>IF(AND(VLOOKUP(B145,Mrz!B:AZ,6,FALSE)="", WEEKDAY(B145,2)=6,VLOOKUP(B145,Mrz!B:AZ,48,FALSE)&gt;0),VLOOKUP(B145,Mrz!B:AZ,48,FALSE)*24,"")</f>
        <v/>
      </c>
      <c r="F145" s="16" t="str">
        <f>IF(AND(VLOOKUP(B145,Mrz!B:AZ,6,FALSE)="", WEEKDAY(B145,2)=7,VLOOKUP(B145,Mrz!B:AZ,49,FALSE)&gt;0),VLOOKUP(B145,Mrz!B:AZ,49,FALSE)*24,"")</f>
        <v/>
      </c>
      <c r="G145" s="16" t="str">
        <f>IF(AND(VLOOKUP(B145,Mrz!B:AZ,6,FALSE)="",VLOOKUP(B145,Mrz!B:AZ,46,FALSE)&gt;0),VLOOKUP(B145,Mrz!B:AZ,46,FALSE)*24,"")</f>
        <v/>
      </c>
      <c r="H145" s="36" t="str">
        <f>IF(AND(VLOOKUP(B145,Mrz!B:AZ,6,FALSE)="",VLOOKUP(B145,Mrz!B:AZ,50,FALSE)&gt;0),VLOOKUP(B145,Mrz!B:AZ,50,FALSE)*24,"")</f>
        <v/>
      </c>
      <c r="I145" s="30" t="str">
        <f>IF(AND(NETWORKDAYS(B145,B145,Feiertage)=1,VLOOKUP(B145,Mrz!B:AZ,6,FALSE)="U"),"Urlaub","")</f>
        <v/>
      </c>
      <c r="J145" s="34" t="str">
        <f ca="1">IF(AND(VLOOKUP(B145,Mrz!B:AZ,6,FALSE)="",VLOOKUP(B145,Mrz!B:AZ,22,FALSE)&lt;0),"Absetzen von","")</f>
        <v/>
      </c>
      <c r="K145" s="263"/>
      <c r="M145" s="316" t="str">
        <f ca="1">IF(VLOOKUP(B145,Mrz!B:AZ,22,FALSE)&lt;&gt;0,VLOOKUP(B145,Mrz!B:AZ,22,FALSE),"")</f>
        <v/>
      </c>
      <c r="N145" s="327"/>
    </row>
    <row r="146" spans="1:14" x14ac:dyDescent="0.25">
      <c r="B146" s="245">
        <f>Mrz!F36</f>
        <v>42091</v>
      </c>
      <c r="C146" s="35">
        <f t="shared" si="1"/>
        <v>42091</v>
      </c>
      <c r="D146" s="17" t="str">
        <f>IF(AND(VLOOKUP(B146,Mrz!B:AZ,8,FALSE)&gt;0,VLOOKUP(B146,Mrz!B:AZ,6,FALSE)=""), CONCATENATE(TEXT(VLOOKUP(B146,Mrz!B:AZ,7,FALSE),"hh:mm"), "-", TEXT(VLOOKUP(B146,Mrz!B:AZ,8,FALSE),"[hh]:mm")," Uhr ", IF(VLOOKUP(B146,Mrz!B:AZ,12,FALSE)&gt;0, CONCATENATE("und ",TEXT(VLOOKUP(B146,Mrz!B:AZ,12,FALSE),"hh:mm"), "-", TEXT(VLOOKUP(B146,Mrz!B:AZ,13,FALSE),"[hh]:mm")," Uhr "),"")), IF(VLOOKUP(B146,Mrz!B:AZ,6,FALSE)="","",VLOOKUP(VLOOKUP(B146,Mrz!B:AZ,6,FALSE),Legende_Code,2,FALSE)))</f>
        <v/>
      </c>
      <c r="E146" s="16" t="str">
        <f>IF(AND(VLOOKUP(B146,Mrz!B:AZ,6,FALSE)="", WEEKDAY(B146,2)=6,VLOOKUP(B146,Mrz!B:AZ,48,FALSE)&gt;0),VLOOKUP(B146,Mrz!B:AZ,48,FALSE)*24,"")</f>
        <v/>
      </c>
      <c r="F146" s="16" t="str">
        <f>IF(AND(VLOOKUP(B146,Mrz!B:AZ,6,FALSE)="", WEEKDAY(B146,2)=7,VLOOKUP(B146,Mrz!B:AZ,49,FALSE)&gt;0),VLOOKUP(B146,Mrz!B:AZ,49,FALSE)*24,"")</f>
        <v/>
      </c>
      <c r="G146" s="16" t="str">
        <f>IF(AND(VLOOKUP(B146,Mrz!B:AZ,6,FALSE)="",VLOOKUP(B146,Mrz!B:AZ,46,FALSE)&gt;0),VLOOKUP(B146,Mrz!B:AZ,46,FALSE)*24,"")</f>
        <v/>
      </c>
      <c r="H146" s="36" t="str">
        <f>IF(AND(VLOOKUP(B146,Mrz!B:AZ,6,FALSE)="",VLOOKUP(B146,Mrz!B:AZ,50,FALSE)&gt;0),VLOOKUP(B146,Mrz!B:AZ,50,FALSE)*24,"")</f>
        <v/>
      </c>
      <c r="I146" s="30" t="str">
        <f>IF(AND(NETWORKDAYS(B146,B146,Feiertage)=1,VLOOKUP(B146,Mrz!B:AZ,6,FALSE)="U"),"Urlaub","")</f>
        <v/>
      </c>
      <c r="J146" s="34" t="str">
        <f ca="1">IF(AND(VLOOKUP(B146,Mrz!B:AZ,6,FALSE)="",VLOOKUP(B146,Mrz!B:AZ,22,FALSE)&lt;0),"Absetzen von","")</f>
        <v/>
      </c>
      <c r="K146" s="263"/>
      <c r="M146" s="316" t="str">
        <f ca="1">IF(VLOOKUP(B146,Mrz!B:AZ,22,FALSE)&lt;&gt;0,VLOOKUP(B146,Mrz!B:AZ,22,FALSE),"")</f>
        <v/>
      </c>
      <c r="N146" s="327"/>
    </row>
    <row r="147" spans="1:14" x14ac:dyDescent="0.25">
      <c r="B147" s="245">
        <f>Mrz!F37</f>
        <v>42092</v>
      </c>
      <c r="C147" s="35">
        <f t="shared" si="1"/>
        <v>42092</v>
      </c>
      <c r="D147" s="17" t="str">
        <f>IF(AND(VLOOKUP(B147,Mrz!B:AZ,8,FALSE)&gt;0,VLOOKUP(B147,Mrz!B:AZ,6,FALSE)=""), CONCATENATE(TEXT(VLOOKUP(B147,Mrz!B:AZ,7,FALSE),"hh:mm"), "-", TEXT(VLOOKUP(B147,Mrz!B:AZ,8,FALSE),"[hh]:mm")," Uhr ", IF(VLOOKUP(B147,Mrz!B:AZ,12,FALSE)&gt;0, CONCATENATE("und ",TEXT(VLOOKUP(B147,Mrz!B:AZ,12,FALSE),"hh:mm"), "-", TEXT(VLOOKUP(B147,Mrz!B:AZ,13,FALSE),"[hh]:mm")," Uhr "),"")), IF(VLOOKUP(B147,Mrz!B:AZ,6,FALSE)="","",VLOOKUP(VLOOKUP(B147,Mrz!B:AZ,6,FALSE),Legende_Code,2,FALSE)))</f>
        <v/>
      </c>
      <c r="E147" s="16" t="str">
        <f>IF(AND(VLOOKUP(B147,Mrz!B:AZ,6,FALSE)="", WEEKDAY(B147,2)=6,VLOOKUP(B147,Mrz!B:AZ,48,FALSE)&gt;0),VLOOKUP(B147,Mrz!B:AZ,48,FALSE)*24,"")</f>
        <v/>
      </c>
      <c r="F147" s="16" t="str">
        <f>IF(AND(VLOOKUP(B147,Mrz!B:AZ,6,FALSE)="", WEEKDAY(B147,2)=7,VLOOKUP(B147,Mrz!B:AZ,49,FALSE)&gt;0),VLOOKUP(B147,Mrz!B:AZ,49,FALSE)*24,"")</f>
        <v/>
      </c>
      <c r="G147" s="16" t="str">
        <f>IF(AND(VLOOKUP(B147,Mrz!B:AZ,6,FALSE)="",VLOOKUP(B147,Mrz!B:AZ,46,FALSE)&gt;0),VLOOKUP(B147,Mrz!B:AZ,46,FALSE)*24,"")</f>
        <v/>
      </c>
      <c r="H147" s="36" t="str">
        <f>IF(AND(VLOOKUP(B147,Mrz!B:AZ,6,FALSE)="",VLOOKUP(B147,Mrz!B:AZ,50,FALSE)&gt;0),VLOOKUP(B147,Mrz!B:AZ,50,FALSE)*24,"")</f>
        <v/>
      </c>
      <c r="I147" s="30" t="str">
        <f>IF(AND(NETWORKDAYS(B147,B147,Feiertage)=1,VLOOKUP(B147,Mrz!B:AZ,6,FALSE)="U"),"Urlaub","")</f>
        <v/>
      </c>
      <c r="J147" s="34" t="str">
        <f ca="1">IF(AND(VLOOKUP(B147,Mrz!B:AZ,6,FALSE)="",VLOOKUP(B147,Mrz!B:AZ,22,FALSE)&lt;0),"Absetzen von","")</f>
        <v/>
      </c>
      <c r="K147" s="263"/>
      <c r="M147" s="316" t="str">
        <f ca="1">IF(VLOOKUP(B147,Mrz!B:AZ,22,FALSE)&lt;&gt;0,VLOOKUP(B147,Mrz!B:AZ,22,FALSE),"")</f>
        <v/>
      </c>
      <c r="N147" s="327"/>
    </row>
    <row r="148" spans="1:14" ht="15.75" thickBot="1" x14ac:dyDescent="0.3">
      <c r="B148" s="245">
        <f>Mrz!F38</f>
        <v>42093</v>
      </c>
      <c r="C148" s="35">
        <f t="shared" ref="C148:C234" si="2">B148</f>
        <v>42093</v>
      </c>
      <c r="D148" s="17" t="str">
        <f>IF(AND(VLOOKUP(B148,Mrz!B:AZ,8,FALSE)&gt;0,VLOOKUP(B148,Mrz!B:AZ,6,FALSE)=""), CONCATENATE(TEXT(VLOOKUP(B148,Mrz!B:AZ,7,FALSE),"hh:mm"), "-", TEXT(VLOOKUP(B148,Mrz!B:AZ,8,FALSE),"[hh]:mm")," Uhr ", IF(VLOOKUP(B148,Mrz!B:AZ,12,FALSE)&gt;0, CONCATENATE("und ",TEXT(VLOOKUP(B148,Mrz!B:AZ,12,FALSE),"hh:mm"), "-", TEXT(VLOOKUP(B148,Mrz!B:AZ,13,FALSE),"[hh]:mm")," Uhr "),"")), IF(VLOOKUP(B148,Mrz!B:AZ,6,FALSE)="","",VLOOKUP(VLOOKUP(B148,Mrz!B:AZ,6,FALSE),Legende_Code,2,FALSE)))</f>
        <v/>
      </c>
      <c r="E148" s="16" t="str">
        <f>IF(AND(VLOOKUP(B148,Mrz!B:AZ,6,FALSE)="", WEEKDAY(B148,2)=6,VLOOKUP(B148,Mrz!B:AZ,48,FALSE)&gt;0),VLOOKUP(B148,Mrz!B:AZ,48,FALSE)*24,"")</f>
        <v/>
      </c>
      <c r="F148" s="16" t="str">
        <f>IF(AND(VLOOKUP(B148,Mrz!B:AZ,6,FALSE)="", WEEKDAY(B148,2)=7,VLOOKUP(B148,Mrz!B:AZ,49,FALSE)&gt;0),VLOOKUP(B148,Mrz!B:AZ,49,FALSE)*24,"")</f>
        <v/>
      </c>
      <c r="G148" s="16" t="str">
        <f>IF(AND(VLOOKUP(B148,Mrz!B:AZ,6,FALSE)="",VLOOKUP(B148,Mrz!B:AZ,46,FALSE)&gt;0),VLOOKUP(B148,Mrz!B:AZ,46,FALSE)*24,"")</f>
        <v/>
      </c>
      <c r="H148" s="36" t="str">
        <f>IF(AND(VLOOKUP(B148,Mrz!B:AZ,6,FALSE)="",VLOOKUP(B148,Mrz!B:AZ,50,FALSE)&gt;0),VLOOKUP(B148,Mrz!B:AZ,50,FALSE)*24,"")</f>
        <v/>
      </c>
      <c r="I148" s="30" t="str">
        <f>IF(AND(NETWORKDAYS(B148,B148,Feiertage)=1,VLOOKUP(B148,Mrz!B:AZ,6,FALSE)="U"),"Urlaub","")</f>
        <v/>
      </c>
      <c r="J148" s="34" t="str">
        <f ca="1">IF(AND(VLOOKUP(B148,Mrz!B:AZ,6,FALSE)="",VLOOKUP(B148,Mrz!B:AZ,22,FALSE)&lt;0),"Absetzen von","")</f>
        <v/>
      </c>
      <c r="K148" s="263"/>
      <c r="M148" s="316" t="str">
        <f ca="1">IF(VLOOKUP(B148,Mrz!B:AZ,22,FALSE)&lt;&gt;0,VLOOKUP(B148,Mrz!B:AZ,22,FALSE),"")</f>
        <v/>
      </c>
      <c r="N148" s="327"/>
    </row>
    <row r="149" spans="1:14" ht="15.75" thickBot="1" x14ac:dyDescent="0.3">
      <c r="B149" s="186"/>
      <c r="C149" s="37"/>
      <c r="D149" s="38" t="s">
        <v>198</v>
      </c>
      <c r="E149" s="39" t="str">
        <f>IF(SUM(E118:E148)=0," ",SUM(E118:E148))</f>
        <v xml:space="preserve"> </v>
      </c>
      <c r="F149" s="39" t="str">
        <f>IF(SUM(F118:F148)=0," ",SUM(F118:F148))</f>
        <v xml:space="preserve"> </v>
      </c>
      <c r="G149" s="39" t="str">
        <f>IF(SUM(G118:G148)=0," ",SUM(G118:G148))</f>
        <v xml:space="preserve"> </v>
      </c>
      <c r="H149" s="40" t="str">
        <f>IF(SUM(H118:H148)=0," ",SUM(H118:H148))</f>
        <v xml:space="preserve"> </v>
      </c>
      <c r="I149" s="30"/>
      <c r="J149" s="185"/>
      <c r="K149" s="266"/>
      <c r="N149" s="327"/>
    </row>
    <row r="150" spans="1:14" x14ac:dyDescent="0.25">
      <c r="B150" s="44" t="s">
        <v>199</v>
      </c>
      <c r="C150" s="20"/>
      <c r="D150" s="41"/>
      <c r="E150" s="20"/>
      <c r="F150" s="20"/>
      <c r="G150" s="20" t="s">
        <v>200</v>
      </c>
      <c r="H150" s="20"/>
      <c r="I150" s="20"/>
      <c r="J150" s="20"/>
      <c r="K150" s="267"/>
      <c r="N150" s="327"/>
    </row>
    <row r="151" spans="1:14" x14ac:dyDescent="0.25">
      <c r="B151" s="44"/>
      <c r="C151" s="20"/>
      <c r="D151" s="41"/>
      <c r="E151" s="20"/>
      <c r="F151" s="20"/>
      <c r="G151" s="20"/>
      <c r="H151" s="20"/>
      <c r="I151" s="20"/>
      <c r="J151" s="20"/>
      <c r="K151" s="267"/>
      <c r="N151" s="327"/>
    </row>
    <row r="152" spans="1:14" x14ac:dyDescent="0.25">
      <c r="B152" s="44"/>
      <c r="C152" s="20"/>
      <c r="D152" s="41"/>
      <c r="E152" s="20"/>
      <c r="F152" s="20"/>
      <c r="G152" s="20"/>
      <c r="H152" s="20"/>
      <c r="I152" s="20"/>
      <c r="J152" s="20"/>
      <c r="K152" s="267"/>
      <c r="N152" s="327"/>
    </row>
    <row r="153" spans="1:14" x14ac:dyDescent="0.25">
      <c r="B153" s="44" t="s">
        <v>201</v>
      </c>
      <c r="C153" s="20"/>
      <c r="D153" s="41"/>
      <c r="E153" s="20"/>
      <c r="F153" s="20"/>
      <c r="G153" s="20" t="s">
        <v>202</v>
      </c>
      <c r="H153" s="20"/>
      <c r="I153" s="20"/>
      <c r="J153" s="20"/>
      <c r="K153" s="267"/>
      <c r="N153" s="327"/>
    </row>
    <row r="154" spans="1:14" x14ac:dyDescent="0.25">
      <c r="B154" s="253"/>
      <c r="C154" s="42"/>
      <c r="D154" s="18"/>
      <c r="E154" s="19"/>
      <c r="F154" s="19"/>
      <c r="G154" s="19"/>
      <c r="H154" s="43"/>
      <c r="I154" s="20"/>
      <c r="J154" s="44"/>
      <c r="K154" s="268"/>
      <c r="N154" s="327"/>
    </row>
    <row r="155" spans="1:14" x14ac:dyDescent="0.25">
      <c r="B155" s="253"/>
      <c r="C155" s="42"/>
      <c r="D155" s="18"/>
      <c r="E155" s="19"/>
      <c r="F155" s="19"/>
      <c r="G155" s="19"/>
      <c r="H155" s="43"/>
      <c r="I155" s="20"/>
      <c r="J155" s="44"/>
      <c r="K155" s="268"/>
      <c r="N155" s="327"/>
    </row>
    <row r="156" spans="1:14" x14ac:dyDescent="0.25">
      <c r="B156" s="253"/>
      <c r="C156" s="42"/>
      <c r="D156" s="18"/>
      <c r="E156" s="19"/>
      <c r="F156" s="19"/>
      <c r="G156" s="19"/>
      <c r="H156" s="43"/>
      <c r="I156" s="20"/>
      <c r="J156" s="44"/>
      <c r="K156" s="268"/>
      <c r="N156" s="327"/>
    </row>
    <row r="157" spans="1:14" x14ac:dyDescent="0.25">
      <c r="B157" s="253"/>
      <c r="C157" s="42"/>
      <c r="D157" s="18"/>
      <c r="E157" s="19"/>
      <c r="F157" s="19"/>
      <c r="G157" s="19"/>
      <c r="H157" s="43"/>
      <c r="I157" s="20"/>
      <c r="J157" s="44"/>
      <c r="K157" s="268"/>
      <c r="N157" s="327"/>
    </row>
    <row r="158" spans="1:14" s="45" customFormat="1" ht="18" x14ac:dyDescent="0.25">
      <c r="B158" s="252"/>
      <c r="C158" s="539" t="s">
        <v>186</v>
      </c>
      <c r="D158" s="539"/>
      <c r="E158" s="539"/>
      <c r="F158" s="539"/>
      <c r="G158" s="21"/>
      <c r="H158" s="21"/>
      <c r="I158" s="21"/>
      <c r="J158" s="21"/>
      <c r="K158" s="259"/>
      <c r="M158" s="317"/>
      <c r="N158" s="328"/>
    </row>
    <row r="159" spans="1:14" s="45" customFormat="1" ht="16.5" x14ac:dyDescent="0.25">
      <c r="B159" s="252" t="s">
        <v>82</v>
      </c>
      <c r="C159" s="21"/>
      <c r="D159" s="22"/>
      <c r="E159" s="21"/>
      <c r="F159" s="21"/>
      <c r="G159" s="21"/>
      <c r="H159" s="21"/>
      <c r="I159" s="23" t="str">
        <f>Struktureinheit</f>
        <v>Struktureinheit</v>
      </c>
      <c r="J159" s="24"/>
      <c r="K159" s="260"/>
      <c r="M159" s="317" t="s">
        <v>187</v>
      </c>
      <c r="N159" s="256"/>
    </row>
    <row r="160" spans="1:14" ht="16.5" x14ac:dyDescent="0.25">
      <c r="A160" s="29"/>
      <c r="B160" s="545" t="s">
        <v>1</v>
      </c>
      <c r="C160" s="545"/>
      <c r="D160" s="20" t="str">
        <f>Name</f>
        <v>Max Mustermann</v>
      </c>
      <c r="E160" s="25"/>
      <c r="F160" s="25"/>
      <c r="G160" s="25"/>
      <c r="H160" s="26"/>
      <c r="I160" s="27"/>
      <c r="J160" s="27"/>
      <c r="K160" s="260"/>
      <c r="M160" s="317" t="s">
        <v>188</v>
      </c>
      <c r="N160" s="257"/>
    </row>
    <row r="161" spans="1:14" ht="9.75" customHeight="1" x14ac:dyDescent="0.25">
      <c r="A161" s="29"/>
      <c r="C161" s="26"/>
      <c r="D161" s="28"/>
      <c r="E161" s="26"/>
      <c r="F161" s="26"/>
      <c r="G161" s="26"/>
      <c r="H161" s="26"/>
      <c r="I161" s="26"/>
      <c r="J161" s="26"/>
      <c r="K161" s="259"/>
      <c r="N161" s="327"/>
    </row>
    <row r="162" spans="1:14" x14ac:dyDescent="0.25">
      <c r="A162" s="29"/>
      <c r="B162" s="545" t="s">
        <v>189</v>
      </c>
      <c r="C162" s="545"/>
      <c r="D162" s="26">
        <f>Personalnummer</f>
        <v>123456789</v>
      </c>
      <c r="G162" s="26"/>
      <c r="H162" s="184" t="s">
        <v>190</v>
      </c>
      <c r="I162" s="540">
        <f>Geburtstag</f>
        <v>16833</v>
      </c>
      <c r="J162" s="540"/>
      <c r="K162" s="261"/>
      <c r="N162" s="327"/>
    </row>
    <row r="163" spans="1:14" x14ac:dyDescent="0.25">
      <c r="A163" s="29"/>
      <c r="C163" s="26"/>
      <c r="D163" s="28"/>
      <c r="E163" s="26"/>
      <c r="F163" s="26"/>
      <c r="G163" s="26"/>
      <c r="H163" s="26"/>
      <c r="I163" s="26"/>
      <c r="J163" s="26"/>
      <c r="K163" s="259"/>
      <c r="N163" s="327"/>
    </row>
    <row r="164" spans="1:14" x14ac:dyDescent="0.25">
      <c r="A164" s="29"/>
      <c r="B164" s="541" t="s">
        <v>191</v>
      </c>
      <c r="C164" s="541"/>
      <c r="D164" s="542">
        <f>B170</f>
        <v>42094</v>
      </c>
      <c r="E164" s="542"/>
      <c r="F164" s="542"/>
      <c r="G164" s="542"/>
      <c r="H164" s="542"/>
      <c r="I164" s="186"/>
      <c r="J164" s="543"/>
      <c r="K164" s="544"/>
      <c r="N164" s="327"/>
    </row>
    <row r="165" spans="1:14" ht="15" customHeight="1" x14ac:dyDescent="0.25">
      <c r="B165" s="557"/>
      <c r="C165" s="557"/>
      <c r="D165" s="558" t="s">
        <v>192</v>
      </c>
      <c r="E165" s="546" t="s">
        <v>38</v>
      </c>
      <c r="F165" s="546" t="s">
        <v>39</v>
      </c>
      <c r="G165" s="546" t="s">
        <v>105</v>
      </c>
      <c r="H165" s="548" t="s">
        <v>81</v>
      </c>
      <c r="I165" s="30" t="s">
        <v>193</v>
      </c>
      <c r="J165" s="550" t="s">
        <v>63</v>
      </c>
      <c r="K165" s="551"/>
      <c r="N165" s="327"/>
    </row>
    <row r="166" spans="1:14" x14ac:dyDescent="0.25">
      <c r="B166" s="557"/>
      <c r="C166" s="557"/>
      <c r="D166" s="558"/>
      <c r="E166" s="547"/>
      <c r="F166" s="547"/>
      <c r="G166" s="547"/>
      <c r="H166" s="549"/>
      <c r="I166" s="552"/>
      <c r="J166" s="550"/>
      <c r="K166" s="551"/>
      <c r="N166" s="327"/>
    </row>
    <row r="167" spans="1:14" x14ac:dyDescent="0.25">
      <c r="B167" s="557"/>
      <c r="C167" s="186"/>
      <c r="D167" s="31" t="s">
        <v>194</v>
      </c>
      <c r="E167" s="186" t="s">
        <v>195</v>
      </c>
      <c r="F167" s="186"/>
      <c r="G167" s="186" t="s">
        <v>196</v>
      </c>
      <c r="H167" s="32"/>
      <c r="I167" s="544"/>
      <c r="J167" s="543"/>
      <c r="K167" s="554"/>
      <c r="N167" s="327"/>
    </row>
    <row r="168" spans="1:14" x14ac:dyDescent="0.25">
      <c r="B168" s="186" t="s">
        <v>80</v>
      </c>
      <c r="C168" s="186" t="s">
        <v>128</v>
      </c>
      <c r="D168" s="31"/>
      <c r="E168" s="186" t="s">
        <v>197</v>
      </c>
      <c r="F168" s="186" t="s">
        <v>197</v>
      </c>
      <c r="G168" s="186" t="s">
        <v>197</v>
      </c>
      <c r="H168" s="32" t="s">
        <v>197</v>
      </c>
      <c r="I168" s="553"/>
      <c r="J168" s="555"/>
      <c r="K168" s="556"/>
      <c r="N168" s="327"/>
    </row>
    <row r="169" spans="1:14" x14ac:dyDescent="0.25">
      <c r="B169" s="186"/>
      <c r="C169" s="186"/>
      <c r="D169" s="33"/>
      <c r="E169" s="16"/>
      <c r="F169" s="186"/>
      <c r="G169" s="186"/>
      <c r="H169" s="32"/>
      <c r="I169" s="30"/>
      <c r="J169" s="34"/>
      <c r="K169" s="269"/>
      <c r="N169" s="327"/>
    </row>
    <row r="170" spans="1:14" x14ac:dyDescent="0.25">
      <c r="B170" s="245">
        <f>Apr!F8</f>
        <v>42094</v>
      </c>
      <c r="C170" s="35">
        <f t="shared" si="2"/>
        <v>42094</v>
      </c>
      <c r="D170" s="17" t="str">
        <f>IF(AND(VLOOKUP(B170,Apr!B:AZ,8,FALSE)&gt;0,VLOOKUP(B170,Apr!B:AZ,6,FALSE)=""), CONCATENATE(TEXT(VLOOKUP(B170,Apr!B:AZ,7,FALSE),"hh:mm"), "-", TEXT(VLOOKUP(B170,Apr!B:AZ,8,FALSE),"[hh]:mm")," Uhr ", IF(VLOOKUP(B170,Apr!B:AZ,12,FALSE)&gt;0, CONCATENATE("und ",TEXT(VLOOKUP(B170,Apr!B:AZ,12,FALSE),"hh:mm"), "-", TEXT(VLOOKUP(B170,Apr!B:AZ,13,FALSE),"[hh]:mm")," Uhr "),"")), IF(VLOOKUP(B170,Apr!B:AZ,6,FALSE)="","",VLOOKUP(VLOOKUP(B170,Apr!B:AZ,6,FALSE),Legende_Code,2,FALSE)))</f>
        <v/>
      </c>
      <c r="E170" s="16" t="str">
        <f>IF(AND(VLOOKUP(B170,Apr!B:AZ,6,FALSE)="", WEEKDAY(B170,2)=6,VLOOKUP(B170,Apr!B:AZ,48,FALSE)&gt;0),VLOOKUP(B170,Apr!B:AZ,48,FALSE)*24,"")</f>
        <v/>
      </c>
      <c r="F170" s="16" t="str">
        <f>IF(AND(VLOOKUP(B170,Apr!B:AZ,6,FALSE)="", WEEKDAY(B170,2)=7,VLOOKUP(B170,Apr!B:AZ,49,FALSE)&gt;0),VLOOKUP(B170,Apr!B:AZ,49,FALSE)*24,"")</f>
        <v/>
      </c>
      <c r="G170" s="16" t="str">
        <f>IF(AND(VLOOKUP(B170,Apr!B:AZ,6,FALSE)="",VLOOKUP(B170,Apr!B:AZ,46,FALSE)&gt;0),VLOOKUP(B170,Apr!B:AZ,46,FALSE)*24,"")</f>
        <v/>
      </c>
      <c r="H170" s="36" t="str">
        <f>IF(AND(VLOOKUP(B170,Apr!B:AZ,6,FALSE)="",VLOOKUP(B170,Apr!B:AZ,50,FALSE)&gt;0),VLOOKUP(B170,Apr!B:AZ,50,FALSE)*24,"")</f>
        <v/>
      </c>
      <c r="I170" s="30" t="str">
        <f>IF(AND(NETWORKDAYS(B170,B170,Feiertage)=1,VLOOKUP(B170,Apr!B:AZ,6,FALSE)="U"),"Urlaub","")</f>
        <v/>
      </c>
      <c r="J170" s="34" t="str">
        <f ca="1">IF(AND(VLOOKUP(B170,Apr!B:AZ,6,FALSE)="",VLOOKUP(B170,Apr!B:AZ,22,FALSE)&lt;0),"Absetzen von","")</f>
        <v/>
      </c>
      <c r="K170" s="263"/>
      <c r="M170" s="316" t="str">
        <f ca="1">IF(VLOOKUP(B170,Apr!B:AZ,22,FALSE)&lt;&gt;0,VLOOKUP(B170,Apr!B:AZ,22,FALSE),"")</f>
        <v/>
      </c>
      <c r="N170" s="327"/>
    </row>
    <row r="171" spans="1:14" x14ac:dyDescent="0.25">
      <c r="B171" s="245">
        <f>Apr!F9</f>
        <v>42095</v>
      </c>
      <c r="C171" s="35">
        <f t="shared" si="2"/>
        <v>42095</v>
      </c>
      <c r="D171" s="17" t="str">
        <f>IF(AND(VLOOKUP(B171,Apr!B:AZ,8,FALSE)&gt;0,VLOOKUP(B171,Apr!B:AZ,6,FALSE)=""), CONCATENATE(TEXT(VLOOKUP(B171,Apr!B:AZ,7,FALSE),"hh:mm"), "-", TEXT(VLOOKUP(B171,Apr!B:AZ,8,FALSE),"[hh]:mm")," Uhr ", IF(VLOOKUP(B171,Apr!B:AZ,12,FALSE)&gt;0, CONCATENATE("und ",TEXT(VLOOKUP(B171,Apr!B:AZ,12,FALSE),"hh:mm"), "-", TEXT(VLOOKUP(B171,Apr!B:AZ,13,FALSE),"[hh]:mm")," Uhr "),"")), IF(VLOOKUP(B171,Apr!B:AZ,6,FALSE)="","",VLOOKUP(VLOOKUP(B171,Apr!B:AZ,6,FALSE),Legende_Code,2,FALSE)))</f>
        <v/>
      </c>
      <c r="E171" s="16" t="str">
        <f>IF(AND(VLOOKUP(B171,Apr!B:AZ,6,FALSE)="", WEEKDAY(B171,2)=6,VLOOKUP(B171,Apr!B:AZ,48,FALSE)&gt;0),VLOOKUP(B171,Apr!B:AZ,48,FALSE)*24,"")</f>
        <v/>
      </c>
      <c r="F171" s="16" t="str">
        <f>IF(AND(VLOOKUP(B171,Apr!B:AZ,6,FALSE)="", WEEKDAY(B171,2)=7,VLOOKUP(B171,Apr!B:AZ,49,FALSE)&gt;0),VLOOKUP(B171,Apr!B:AZ,49,FALSE)*24,"")</f>
        <v/>
      </c>
      <c r="G171" s="16" t="str">
        <f>IF(AND(VLOOKUP(B171,Apr!B:AZ,6,FALSE)="",VLOOKUP(B171,Apr!B:AZ,46,FALSE)&gt;0),VLOOKUP(B171,Apr!B:AZ,46,FALSE)*24,"")</f>
        <v/>
      </c>
      <c r="H171" s="36" t="str">
        <f>IF(AND(VLOOKUP(B171,Apr!B:AZ,6,FALSE)="",VLOOKUP(B171,Apr!B:AZ,50,FALSE)&gt;0),VLOOKUP(B171,Apr!B:AZ,50,FALSE)*24,"")</f>
        <v/>
      </c>
      <c r="I171" s="30" t="str">
        <f>IF(AND(NETWORKDAYS(B171,B171,Feiertage)=1,VLOOKUP(B171,Apr!B:AZ,6,FALSE)="U"),"Urlaub","")</f>
        <v/>
      </c>
      <c r="J171" s="34" t="str">
        <f ca="1">IF(AND(VLOOKUP(B171,Apr!B:AZ,6,FALSE)="",VLOOKUP(B171,Apr!B:AZ,22,FALSE)&lt;0),"Absetzen von","")</f>
        <v/>
      </c>
      <c r="K171" s="263"/>
      <c r="M171" s="316" t="str">
        <f ca="1">IF(VLOOKUP(B171,Apr!B:AZ,22,FALSE)&lt;&gt;0,VLOOKUP(B171,Apr!B:AZ,22,FALSE),"")</f>
        <v/>
      </c>
      <c r="N171" s="327"/>
    </row>
    <row r="172" spans="1:14" x14ac:dyDescent="0.25">
      <c r="B172" s="245">
        <f>Apr!F10</f>
        <v>42096</v>
      </c>
      <c r="C172" s="35">
        <f t="shared" si="2"/>
        <v>42096</v>
      </c>
      <c r="D172" s="17" t="str">
        <f>IF(AND(VLOOKUP(B172,Apr!B:AZ,8,FALSE)&gt;0,VLOOKUP(B172,Apr!B:AZ,6,FALSE)=""), CONCATENATE(TEXT(VLOOKUP(B172,Apr!B:AZ,7,FALSE),"hh:mm"), "-", TEXT(VLOOKUP(B172,Apr!B:AZ,8,FALSE),"[hh]:mm")," Uhr ", IF(VLOOKUP(B172,Apr!B:AZ,12,FALSE)&gt;0, CONCATENATE("und ",TEXT(VLOOKUP(B172,Apr!B:AZ,12,FALSE),"hh:mm"), "-", TEXT(VLOOKUP(B172,Apr!B:AZ,13,FALSE),"[hh]:mm")," Uhr "),"")), IF(VLOOKUP(B172,Apr!B:AZ,6,FALSE)="","",VLOOKUP(VLOOKUP(B172,Apr!B:AZ,6,FALSE),Legende_Code,2,FALSE)))</f>
        <v/>
      </c>
      <c r="E172" s="16" t="str">
        <f>IF(AND(VLOOKUP(B172,Apr!B:AZ,6,FALSE)="", WEEKDAY(B172,2)=6,VLOOKUP(B172,Apr!B:AZ,48,FALSE)&gt;0),VLOOKUP(B172,Apr!B:AZ,48,FALSE)*24,"")</f>
        <v/>
      </c>
      <c r="F172" s="16" t="str">
        <f>IF(AND(VLOOKUP(B172,Apr!B:AZ,6,FALSE)="", WEEKDAY(B172,2)=7,VLOOKUP(B172,Apr!B:AZ,49,FALSE)&gt;0),VLOOKUP(B172,Apr!B:AZ,49,FALSE)*24,"")</f>
        <v/>
      </c>
      <c r="G172" s="16" t="str">
        <f>IF(AND(VLOOKUP(B172,Apr!B:AZ,6,FALSE)="",VLOOKUP(B172,Apr!B:AZ,46,FALSE)&gt;0),VLOOKUP(B172,Apr!B:AZ,46,FALSE)*24,"")</f>
        <v/>
      </c>
      <c r="H172" s="36" t="str">
        <f>IF(AND(VLOOKUP(B172,Apr!B:AZ,6,FALSE)="",VLOOKUP(B172,Apr!B:AZ,50,FALSE)&gt;0),VLOOKUP(B172,Apr!B:AZ,50,FALSE)*24,"")</f>
        <v/>
      </c>
      <c r="I172" s="30" t="str">
        <f>IF(AND(NETWORKDAYS(B172,B172,Feiertage)=1,VLOOKUP(B172,Apr!B:AZ,6,FALSE)="U"),"Urlaub","")</f>
        <v/>
      </c>
      <c r="J172" s="34" t="str">
        <f ca="1">IF(AND(VLOOKUP(B172,Apr!B:AZ,6,FALSE)="",VLOOKUP(B172,Apr!B:AZ,22,FALSE)&lt;0),"Absetzen von","")</f>
        <v/>
      </c>
      <c r="K172" s="263"/>
      <c r="M172" s="316" t="str">
        <f ca="1">IF(VLOOKUP(B172,Apr!B:AZ,22,FALSE)&lt;&gt;0,VLOOKUP(B172,Apr!B:AZ,22,FALSE),"")</f>
        <v/>
      </c>
      <c r="N172" s="327"/>
    </row>
    <row r="173" spans="1:14" x14ac:dyDescent="0.25">
      <c r="B173" s="245">
        <f>Apr!F11</f>
        <v>42097</v>
      </c>
      <c r="C173" s="35">
        <f t="shared" si="2"/>
        <v>42097</v>
      </c>
      <c r="D173" s="17" t="str">
        <f>IF(AND(VLOOKUP(B173,Apr!B:AZ,8,FALSE)&gt;0,VLOOKUP(B173,Apr!B:AZ,6,FALSE)=""), CONCATENATE(TEXT(VLOOKUP(B173,Apr!B:AZ,7,FALSE),"hh:mm"), "-", TEXT(VLOOKUP(B173,Apr!B:AZ,8,FALSE),"[hh]:mm")," Uhr ", IF(VLOOKUP(B173,Apr!B:AZ,12,FALSE)&gt;0, CONCATENATE("und ",TEXT(VLOOKUP(B173,Apr!B:AZ,12,FALSE),"hh:mm"), "-", TEXT(VLOOKUP(B173,Apr!B:AZ,13,FALSE),"[hh]:mm")," Uhr "),"")), IF(VLOOKUP(B173,Apr!B:AZ,6,FALSE)="","",VLOOKUP(VLOOKUP(B173,Apr!B:AZ,6,FALSE),Legende_Code,2,FALSE)))</f>
        <v/>
      </c>
      <c r="E173" s="16" t="str">
        <f>IF(AND(VLOOKUP(B173,Apr!B:AZ,6,FALSE)="", WEEKDAY(B173,2)=6,VLOOKUP(B173,Apr!B:AZ,48,FALSE)&gt;0),VLOOKUP(B173,Apr!B:AZ,48,FALSE)*24,"")</f>
        <v/>
      </c>
      <c r="F173" s="16" t="str">
        <f>IF(AND(VLOOKUP(B173,Apr!B:AZ,6,FALSE)="", WEEKDAY(B173,2)=7,VLOOKUP(B173,Apr!B:AZ,49,FALSE)&gt;0),VLOOKUP(B173,Apr!B:AZ,49,FALSE)*24,"")</f>
        <v/>
      </c>
      <c r="G173" s="16" t="str">
        <f>IF(AND(VLOOKUP(B173,Apr!B:AZ,6,FALSE)="",VLOOKUP(B173,Apr!B:AZ,46,FALSE)&gt;0),VLOOKUP(B173,Apr!B:AZ,46,FALSE)*24,"")</f>
        <v/>
      </c>
      <c r="H173" s="36" t="str">
        <f>IF(AND(VLOOKUP(B173,Apr!B:AZ,6,FALSE)="",VLOOKUP(B173,Apr!B:AZ,50,FALSE)&gt;0),VLOOKUP(B173,Apr!B:AZ,50,FALSE)*24,"")</f>
        <v/>
      </c>
      <c r="I173" s="30" t="str">
        <f>IF(AND(NETWORKDAYS(B173,B173,Feiertage)=1,VLOOKUP(B173,Apr!B:AZ,6,FALSE)="U"),"Urlaub","")</f>
        <v/>
      </c>
      <c r="J173" s="34" t="str">
        <f ca="1">IF(AND(VLOOKUP(B173,Apr!B:AZ,6,FALSE)="",VLOOKUP(B173,Apr!B:AZ,22,FALSE)&lt;0),"Absetzen von","")</f>
        <v/>
      </c>
      <c r="K173" s="263"/>
      <c r="M173" s="316" t="str">
        <f ca="1">IF(VLOOKUP(B173,Apr!B:AZ,22,FALSE)&lt;&gt;0,VLOOKUP(B173,Apr!B:AZ,22,FALSE),"")</f>
        <v/>
      </c>
      <c r="N173" s="327"/>
    </row>
    <row r="174" spans="1:14" x14ac:dyDescent="0.25">
      <c r="B174" s="245">
        <f>Apr!F12</f>
        <v>42098</v>
      </c>
      <c r="C174" s="35">
        <f t="shared" si="2"/>
        <v>42098</v>
      </c>
      <c r="D174" s="17" t="str">
        <f>IF(AND(VLOOKUP(B174,Apr!B:AZ,8,FALSE)&gt;0,VLOOKUP(B174,Apr!B:AZ,6,FALSE)=""), CONCATENATE(TEXT(VLOOKUP(B174,Apr!B:AZ,7,FALSE),"hh:mm"), "-", TEXT(VLOOKUP(B174,Apr!B:AZ,8,FALSE),"[hh]:mm")," Uhr ", IF(VLOOKUP(B174,Apr!B:AZ,12,FALSE)&gt;0, CONCATENATE("und ",TEXT(VLOOKUP(B174,Apr!B:AZ,12,FALSE),"hh:mm"), "-", TEXT(VLOOKUP(B174,Apr!B:AZ,13,FALSE),"[hh]:mm")," Uhr "),"")), IF(VLOOKUP(B174,Apr!B:AZ,6,FALSE)="","",VLOOKUP(VLOOKUP(B174,Apr!B:AZ,6,FALSE),Legende_Code,2,FALSE)))</f>
        <v/>
      </c>
      <c r="E174" s="16" t="str">
        <f>IF(AND(VLOOKUP(B174,Apr!B:AZ,6,FALSE)="", WEEKDAY(B174,2)=6,VLOOKUP(B174,Apr!B:AZ,48,FALSE)&gt;0),VLOOKUP(B174,Apr!B:AZ,48,FALSE)*24,"")</f>
        <v/>
      </c>
      <c r="F174" s="16" t="str">
        <f>IF(AND(VLOOKUP(B174,Apr!B:AZ,6,FALSE)="", WEEKDAY(B174,2)=7,VLOOKUP(B174,Apr!B:AZ,49,FALSE)&gt;0),VLOOKUP(B174,Apr!B:AZ,49,FALSE)*24,"")</f>
        <v/>
      </c>
      <c r="G174" s="16" t="str">
        <f>IF(AND(VLOOKUP(B174,Apr!B:AZ,6,FALSE)="",VLOOKUP(B174,Apr!B:AZ,46,FALSE)&gt;0),VLOOKUP(B174,Apr!B:AZ,46,FALSE)*24,"")</f>
        <v/>
      </c>
      <c r="H174" s="36" t="str">
        <f>IF(AND(VLOOKUP(B174,Apr!B:AZ,6,FALSE)="",VLOOKUP(B174,Apr!B:AZ,50,FALSE)&gt;0),VLOOKUP(B174,Apr!B:AZ,50,FALSE)*24,"")</f>
        <v/>
      </c>
      <c r="I174" s="30" t="str">
        <f>IF(AND(NETWORKDAYS(B174,B174,Feiertage)=1,VLOOKUP(B174,Apr!B:AZ,6,FALSE)="U"),"Urlaub","")</f>
        <v/>
      </c>
      <c r="J174" s="34" t="str">
        <f ca="1">IF(AND(VLOOKUP(B174,Apr!B:AZ,6,FALSE)="",VLOOKUP(B174,Apr!B:AZ,22,FALSE)&lt;0),"Absetzen von","")</f>
        <v/>
      </c>
      <c r="K174" s="263"/>
      <c r="M174" s="316" t="str">
        <f ca="1">IF(VLOOKUP(B174,Apr!B:AZ,22,FALSE)&lt;&gt;0,VLOOKUP(B174,Apr!B:AZ,22,FALSE),"")</f>
        <v/>
      </c>
      <c r="N174" s="327"/>
    </row>
    <row r="175" spans="1:14" x14ac:dyDescent="0.25">
      <c r="B175" s="245">
        <f>Apr!F13</f>
        <v>42099</v>
      </c>
      <c r="C175" s="35">
        <f t="shared" si="2"/>
        <v>42099</v>
      </c>
      <c r="D175" s="17" t="str">
        <f>IF(AND(VLOOKUP(B175,Apr!B:AZ,8,FALSE)&gt;0,VLOOKUP(B175,Apr!B:AZ,6,FALSE)=""), CONCATENATE(TEXT(VLOOKUP(B175,Apr!B:AZ,7,FALSE),"hh:mm"), "-", TEXT(VLOOKUP(B175,Apr!B:AZ,8,FALSE),"[hh]:mm")," Uhr ", IF(VLOOKUP(B175,Apr!B:AZ,12,FALSE)&gt;0, CONCATENATE("und ",TEXT(VLOOKUP(B175,Apr!B:AZ,12,FALSE),"hh:mm"), "-", TEXT(VLOOKUP(B175,Apr!B:AZ,13,FALSE),"[hh]:mm")," Uhr "),"")), IF(VLOOKUP(B175,Apr!B:AZ,6,FALSE)="","",VLOOKUP(VLOOKUP(B175,Apr!B:AZ,6,FALSE),Legende_Code,2,FALSE)))</f>
        <v/>
      </c>
      <c r="E175" s="16" t="str">
        <f>IF(AND(VLOOKUP(B175,Apr!B:AZ,6,FALSE)="", WEEKDAY(B175,2)=6,VLOOKUP(B175,Apr!B:AZ,48,FALSE)&gt;0),VLOOKUP(B175,Apr!B:AZ,48,FALSE)*24,"")</f>
        <v/>
      </c>
      <c r="F175" s="16" t="str">
        <f>IF(AND(VLOOKUP(B175,Apr!B:AZ,6,FALSE)="", WEEKDAY(B175,2)=7,VLOOKUP(B175,Apr!B:AZ,49,FALSE)&gt;0),VLOOKUP(B175,Apr!B:AZ,49,FALSE)*24,"")</f>
        <v/>
      </c>
      <c r="G175" s="16" t="str">
        <f>IF(AND(VLOOKUP(B175,Apr!B:AZ,6,FALSE)="",VLOOKUP(B175,Apr!B:AZ,46,FALSE)&gt;0),VLOOKUP(B175,Apr!B:AZ,46,FALSE)*24,"")</f>
        <v/>
      </c>
      <c r="H175" s="36" t="str">
        <f>IF(AND(VLOOKUP(B175,Apr!B:AZ,6,FALSE)="",VLOOKUP(B175,Apr!B:AZ,50,FALSE)&gt;0),VLOOKUP(B175,Apr!B:AZ,50,FALSE)*24,"")</f>
        <v/>
      </c>
      <c r="I175" s="30" t="str">
        <f>IF(AND(NETWORKDAYS(B175,B175,Feiertage)=1,VLOOKUP(B175,Apr!B:AZ,6,FALSE)="U"),"Urlaub","")</f>
        <v/>
      </c>
      <c r="J175" s="34" t="str">
        <f ca="1">IF(AND(VLOOKUP(B175,Apr!B:AZ,6,FALSE)="",VLOOKUP(B175,Apr!B:AZ,22,FALSE)&lt;0),"Absetzen von","")</f>
        <v/>
      </c>
      <c r="K175" s="263"/>
      <c r="M175" s="316" t="str">
        <f ca="1">IF(VLOOKUP(B175,Apr!B:AZ,22,FALSE)&lt;&gt;0,VLOOKUP(B175,Apr!B:AZ,22,FALSE),"")</f>
        <v/>
      </c>
      <c r="N175" s="327"/>
    </row>
    <row r="176" spans="1:14" x14ac:dyDescent="0.25">
      <c r="B176" s="245">
        <f>Apr!F14</f>
        <v>42100</v>
      </c>
      <c r="C176" s="35">
        <f t="shared" si="2"/>
        <v>42100</v>
      </c>
      <c r="D176" s="17" t="str">
        <f>IF(AND(VLOOKUP(B176,Apr!B:AZ,8,FALSE)&gt;0,VLOOKUP(B176,Apr!B:AZ,6,FALSE)=""), CONCATENATE(TEXT(VLOOKUP(B176,Apr!B:AZ,7,FALSE),"hh:mm"), "-", TEXT(VLOOKUP(B176,Apr!B:AZ,8,FALSE),"[hh]:mm")," Uhr ", IF(VLOOKUP(B176,Apr!B:AZ,12,FALSE)&gt;0, CONCATENATE("und ",TEXT(VLOOKUP(B176,Apr!B:AZ,12,FALSE),"hh:mm"), "-", TEXT(VLOOKUP(B176,Apr!B:AZ,13,FALSE),"[hh]:mm")," Uhr "),"")), IF(VLOOKUP(B176,Apr!B:AZ,6,FALSE)="","",VLOOKUP(VLOOKUP(B176,Apr!B:AZ,6,FALSE),Legende_Code,2,FALSE)))</f>
        <v/>
      </c>
      <c r="E176" s="16" t="str">
        <f>IF(AND(VLOOKUP(B176,Apr!B:AZ,6,FALSE)="", WEEKDAY(B176,2)=6,VLOOKUP(B176,Apr!B:AZ,48,FALSE)&gt;0),VLOOKUP(B176,Apr!B:AZ,48,FALSE)*24,"")</f>
        <v/>
      </c>
      <c r="F176" s="16" t="str">
        <f>IF(AND(VLOOKUP(B176,Apr!B:AZ,6,FALSE)="", WEEKDAY(B176,2)=7,VLOOKUP(B176,Apr!B:AZ,49,FALSE)&gt;0),VLOOKUP(B176,Apr!B:AZ,49,FALSE)*24,"")</f>
        <v/>
      </c>
      <c r="G176" s="16" t="str">
        <f>IF(AND(VLOOKUP(B176,Apr!B:AZ,6,FALSE)="",VLOOKUP(B176,Apr!B:AZ,46,FALSE)&gt;0),VLOOKUP(B176,Apr!B:AZ,46,FALSE)*24,"")</f>
        <v/>
      </c>
      <c r="H176" s="36" t="str">
        <f>IF(AND(VLOOKUP(B176,Apr!B:AZ,6,FALSE)="",VLOOKUP(B176,Apr!B:AZ,50,FALSE)&gt;0),VLOOKUP(B176,Apr!B:AZ,50,FALSE)*24,"")</f>
        <v/>
      </c>
      <c r="I176" s="30" t="str">
        <f>IF(AND(NETWORKDAYS(B176,B176,Feiertage)=1,VLOOKUP(B176,Apr!B:AZ,6,FALSE)="U"),"Urlaub","")</f>
        <v/>
      </c>
      <c r="J176" s="34" t="str">
        <f ca="1">IF(AND(VLOOKUP(B176,Apr!B:AZ,6,FALSE)="",VLOOKUP(B176,Apr!B:AZ,22,FALSE)&lt;0),"Absetzen von","")</f>
        <v/>
      </c>
      <c r="K176" s="263"/>
      <c r="M176" s="316" t="str">
        <f ca="1">IF(VLOOKUP(B176,Apr!B:AZ,22,FALSE)&lt;&gt;0,VLOOKUP(B176,Apr!B:AZ,22,FALSE),"")</f>
        <v/>
      </c>
      <c r="N176" s="327"/>
    </row>
    <row r="177" spans="2:14" x14ac:dyDescent="0.25">
      <c r="B177" s="245">
        <f>Apr!F15</f>
        <v>42101</v>
      </c>
      <c r="C177" s="35">
        <f t="shared" si="2"/>
        <v>42101</v>
      </c>
      <c r="D177" s="17" t="str">
        <f>IF(AND(VLOOKUP(B177,Apr!B:AZ,8,FALSE)&gt;0,VLOOKUP(B177,Apr!B:AZ,6,FALSE)=""), CONCATENATE(TEXT(VLOOKUP(B177,Apr!B:AZ,7,FALSE),"hh:mm"), "-", TEXT(VLOOKUP(B177,Apr!B:AZ,8,FALSE),"[hh]:mm")," Uhr ", IF(VLOOKUP(B177,Apr!B:AZ,12,FALSE)&gt;0, CONCATENATE("und ",TEXT(VLOOKUP(B177,Apr!B:AZ,12,FALSE),"hh:mm"), "-", TEXT(VLOOKUP(B177,Apr!B:AZ,13,FALSE),"[hh]:mm")," Uhr "),"")), IF(VLOOKUP(B177,Apr!B:AZ,6,FALSE)="","",VLOOKUP(VLOOKUP(B177,Apr!B:AZ,6,FALSE),Legende_Code,2,FALSE)))</f>
        <v/>
      </c>
      <c r="E177" s="16" t="str">
        <f>IF(AND(VLOOKUP(B177,Apr!B:AZ,6,FALSE)="", WEEKDAY(B177,2)=6,VLOOKUP(B177,Apr!B:AZ,48,FALSE)&gt;0),VLOOKUP(B177,Apr!B:AZ,48,FALSE)*24,"")</f>
        <v/>
      </c>
      <c r="F177" s="16" t="str">
        <f>IF(AND(VLOOKUP(B177,Apr!B:AZ,6,FALSE)="", WEEKDAY(B177,2)=7,VLOOKUP(B177,Apr!B:AZ,49,FALSE)&gt;0),VLOOKUP(B177,Apr!B:AZ,49,FALSE)*24,"")</f>
        <v/>
      </c>
      <c r="G177" s="16" t="str">
        <f>IF(AND(VLOOKUP(B177,Apr!B:AZ,6,FALSE)="",VLOOKUP(B177,Apr!B:AZ,46,FALSE)&gt;0),VLOOKUP(B177,Apr!B:AZ,46,FALSE)*24,"")</f>
        <v/>
      </c>
      <c r="H177" s="36" t="str">
        <f>IF(AND(VLOOKUP(B177,Apr!B:AZ,6,FALSE)="",VLOOKUP(B177,Apr!B:AZ,50,FALSE)&gt;0),VLOOKUP(B177,Apr!B:AZ,50,FALSE)*24,"")</f>
        <v/>
      </c>
      <c r="I177" s="30" t="str">
        <f>IF(AND(NETWORKDAYS(B177,B177,Feiertage)=1,VLOOKUP(B177,Apr!B:AZ,6,FALSE)="U"),"Urlaub","")</f>
        <v/>
      </c>
      <c r="J177" s="34" t="str">
        <f ca="1">IF(AND(VLOOKUP(B177,Apr!B:AZ,6,FALSE)="",VLOOKUP(B177,Apr!B:AZ,22,FALSE)&lt;0),"Absetzen von","")</f>
        <v/>
      </c>
      <c r="K177" s="263"/>
      <c r="M177" s="316" t="str">
        <f ca="1">IF(VLOOKUP(B177,Apr!B:AZ,22,FALSE)&lt;&gt;0,VLOOKUP(B177,Apr!B:AZ,22,FALSE),"")</f>
        <v/>
      </c>
      <c r="N177" s="327"/>
    </row>
    <row r="178" spans="2:14" x14ac:dyDescent="0.25">
      <c r="B178" s="245">
        <f>Apr!F16</f>
        <v>42102</v>
      </c>
      <c r="C178" s="35">
        <f t="shared" si="2"/>
        <v>42102</v>
      </c>
      <c r="D178" s="17" t="str">
        <f>IF(AND(VLOOKUP(B178,Apr!B:AZ,8,FALSE)&gt;0,VLOOKUP(B178,Apr!B:AZ,6,FALSE)=""), CONCATENATE(TEXT(VLOOKUP(B178,Apr!B:AZ,7,FALSE),"hh:mm"), "-", TEXT(VLOOKUP(B178,Apr!B:AZ,8,FALSE),"[hh]:mm")," Uhr ", IF(VLOOKUP(B178,Apr!B:AZ,12,FALSE)&gt;0, CONCATENATE("und ",TEXT(VLOOKUP(B178,Apr!B:AZ,12,FALSE),"hh:mm"), "-", TEXT(VLOOKUP(B178,Apr!B:AZ,13,FALSE),"[hh]:mm")," Uhr "),"")), IF(VLOOKUP(B178,Apr!B:AZ,6,FALSE)="","",VLOOKUP(VLOOKUP(B178,Apr!B:AZ,6,FALSE),Legende_Code,2,FALSE)))</f>
        <v/>
      </c>
      <c r="E178" s="16" t="str">
        <f>IF(AND(VLOOKUP(B178,Apr!B:AZ,6,FALSE)="", WEEKDAY(B178,2)=6,VLOOKUP(B178,Apr!B:AZ,48,FALSE)&gt;0),VLOOKUP(B178,Apr!B:AZ,48,FALSE)*24,"")</f>
        <v/>
      </c>
      <c r="F178" s="16" t="str">
        <f>IF(AND(VLOOKUP(B178,Apr!B:AZ,6,FALSE)="", WEEKDAY(B178,2)=7,VLOOKUP(B178,Apr!B:AZ,49,FALSE)&gt;0),VLOOKUP(B178,Apr!B:AZ,49,FALSE)*24,"")</f>
        <v/>
      </c>
      <c r="G178" s="16" t="str">
        <f>IF(AND(VLOOKUP(B178,Apr!B:AZ,6,FALSE)="",VLOOKUP(B178,Apr!B:AZ,46,FALSE)&gt;0),VLOOKUP(B178,Apr!B:AZ,46,FALSE)*24,"")</f>
        <v/>
      </c>
      <c r="H178" s="36" t="str">
        <f>IF(AND(VLOOKUP(B178,Apr!B:AZ,6,FALSE)="",VLOOKUP(B178,Apr!B:AZ,50,FALSE)&gt;0),VLOOKUP(B178,Apr!B:AZ,50,FALSE)*24,"")</f>
        <v/>
      </c>
      <c r="I178" s="30" t="str">
        <f>IF(AND(NETWORKDAYS(B178,B178,Feiertage)=1,VLOOKUP(B178,Apr!B:AZ,6,FALSE)="U"),"Urlaub","")</f>
        <v/>
      </c>
      <c r="J178" s="34" t="str">
        <f ca="1">IF(AND(VLOOKUP(B178,Apr!B:AZ,6,FALSE)="",VLOOKUP(B178,Apr!B:AZ,22,FALSE)&lt;0),"Absetzen von","")</f>
        <v/>
      </c>
      <c r="K178" s="263"/>
      <c r="M178" s="316" t="str">
        <f ca="1">IF(VLOOKUP(B178,Apr!B:AZ,22,FALSE)&lt;&gt;0,VLOOKUP(B178,Apr!B:AZ,22,FALSE),"")</f>
        <v/>
      </c>
      <c r="N178" s="327"/>
    </row>
    <row r="179" spans="2:14" x14ac:dyDescent="0.25">
      <c r="B179" s="245">
        <f>Apr!F17</f>
        <v>42103</v>
      </c>
      <c r="C179" s="35">
        <f t="shared" si="2"/>
        <v>42103</v>
      </c>
      <c r="D179" s="17" t="str">
        <f>IF(AND(VLOOKUP(B179,Apr!B:AZ,8,FALSE)&gt;0,VLOOKUP(B179,Apr!B:AZ,6,FALSE)=""), CONCATENATE(TEXT(VLOOKUP(B179,Apr!B:AZ,7,FALSE),"hh:mm"), "-", TEXT(VLOOKUP(B179,Apr!B:AZ,8,FALSE),"[hh]:mm")," Uhr ", IF(VLOOKUP(B179,Apr!B:AZ,12,FALSE)&gt;0, CONCATENATE("und ",TEXT(VLOOKUP(B179,Apr!B:AZ,12,FALSE),"hh:mm"), "-", TEXT(VLOOKUP(B179,Apr!B:AZ,13,FALSE),"[hh]:mm")," Uhr "),"")), IF(VLOOKUP(B179,Apr!B:AZ,6,FALSE)="","",VLOOKUP(VLOOKUP(B179,Apr!B:AZ,6,FALSE),Legende_Code,2,FALSE)))</f>
        <v/>
      </c>
      <c r="E179" s="16" t="str">
        <f>IF(AND(VLOOKUP(B179,Apr!B:AZ,6,FALSE)="", WEEKDAY(B179,2)=6,VLOOKUP(B179,Apr!B:AZ,48,FALSE)&gt;0),VLOOKUP(B179,Apr!B:AZ,48,FALSE)*24,"")</f>
        <v/>
      </c>
      <c r="F179" s="16" t="str">
        <f>IF(AND(VLOOKUP(B179,Apr!B:AZ,6,FALSE)="", WEEKDAY(B179,2)=7,VLOOKUP(B179,Apr!B:AZ,49,FALSE)&gt;0),VLOOKUP(B179,Apr!B:AZ,49,FALSE)*24,"")</f>
        <v/>
      </c>
      <c r="G179" s="16" t="str">
        <f>IF(AND(VLOOKUP(B179,Apr!B:AZ,6,FALSE)="",VLOOKUP(B179,Apr!B:AZ,46,FALSE)&gt;0),VLOOKUP(B179,Apr!B:AZ,46,FALSE)*24,"")</f>
        <v/>
      </c>
      <c r="H179" s="36" t="str">
        <f>IF(AND(VLOOKUP(B179,Apr!B:AZ,6,FALSE)="",VLOOKUP(B179,Apr!B:AZ,50,FALSE)&gt;0),VLOOKUP(B179,Apr!B:AZ,50,FALSE)*24,"")</f>
        <v/>
      </c>
      <c r="I179" s="30" t="str">
        <f>IF(AND(NETWORKDAYS(B179,B179,Feiertage)=1,VLOOKUP(B179,Apr!B:AZ,6,FALSE)="U"),"Urlaub","")</f>
        <v/>
      </c>
      <c r="J179" s="34" t="str">
        <f ca="1">IF(AND(VLOOKUP(B179,Apr!B:AZ,6,FALSE)="",VLOOKUP(B179,Apr!B:AZ,22,FALSE)&lt;0),"Absetzen von","")</f>
        <v/>
      </c>
      <c r="K179" s="263"/>
      <c r="M179" s="316" t="str">
        <f ca="1">IF(VLOOKUP(B179,Apr!B:AZ,22,FALSE)&lt;&gt;0,VLOOKUP(B179,Apr!B:AZ,22,FALSE),"")</f>
        <v/>
      </c>
      <c r="N179" s="327"/>
    </row>
    <row r="180" spans="2:14" x14ac:dyDescent="0.25">
      <c r="B180" s="245">
        <f>Apr!F18</f>
        <v>42104</v>
      </c>
      <c r="C180" s="35">
        <f t="shared" si="2"/>
        <v>42104</v>
      </c>
      <c r="D180" s="17" t="str">
        <f>IF(AND(VLOOKUP(B180,Apr!B:AZ,8,FALSE)&gt;0,VLOOKUP(B180,Apr!B:AZ,6,FALSE)=""), CONCATENATE(TEXT(VLOOKUP(B180,Apr!B:AZ,7,FALSE),"hh:mm"), "-", TEXT(VLOOKUP(B180,Apr!B:AZ,8,FALSE),"[hh]:mm")," Uhr ", IF(VLOOKUP(B180,Apr!B:AZ,12,FALSE)&gt;0, CONCATENATE("und ",TEXT(VLOOKUP(B180,Apr!B:AZ,12,FALSE),"hh:mm"), "-", TEXT(VLOOKUP(B180,Apr!B:AZ,13,FALSE),"[hh]:mm")," Uhr "),"")), IF(VLOOKUP(B180,Apr!B:AZ,6,FALSE)="","",VLOOKUP(VLOOKUP(B180,Apr!B:AZ,6,FALSE),Legende_Code,2,FALSE)))</f>
        <v/>
      </c>
      <c r="E180" s="16" t="str">
        <f>IF(AND(VLOOKUP(B180,Apr!B:AZ,6,FALSE)="", WEEKDAY(B180,2)=6,VLOOKUP(B180,Apr!B:AZ,48,FALSE)&gt;0),VLOOKUP(B180,Apr!B:AZ,48,FALSE)*24,"")</f>
        <v/>
      </c>
      <c r="F180" s="16" t="str">
        <f>IF(AND(VLOOKUP(B180,Apr!B:AZ,6,FALSE)="", WEEKDAY(B180,2)=7,VLOOKUP(B180,Apr!B:AZ,49,FALSE)&gt;0),VLOOKUP(B180,Apr!B:AZ,49,FALSE)*24,"")</f>
        <v/>
      </c>
      <c r="G180" s="16" t="str">
        <f>IF(AND(VLOOKUP(B180,Apr!B:AZ,6,FALSE)="",VLOOKUP(B180,Apr!B:AZ,46,FALSE)&gt;0),VLOOKUP(B180,Apr!B:AZ,46,FALSE)*24,"")</f>
        <v/>
      </c>
      <c r="H180" s="36" t="str">
        <f>IF(AND(VLOOKUP(B180,Apr!B:AZ,6,FALSE)="",VLOOKUP(B180,Apr!B:AZ,50,FALSE)&gt;0),VLOOKUP(B180,Apr!B:AZ,50,FALSE)*24,"")</f>
        <v/>
      </c>
      <c r="I180" s="30" t="str">
        <f>IF(AND(NETWORKDAYS(B180,B180,Feiertage)=1,VLOOKUP(B180,Apr!B:AZ,6,FALSE)="U"),"Urlaub","")</f>
        <v/>
      </c>
      <c r="J180" s="34" t="str">
        <f ca="1">IF(AND(VLOOKUP(B180,Apr!B:AZ,6,FALSE)="",VLOOKUP(B180,Apr!B:AZ,22,FALSE)&lt;0),"Absetzen von","")</f>
        <v/>
      </c>
      <c r="K180" s="263"/>
      <c r="M180" s="316" t="str">
        <f ca="1">IF(VLOOKUP(B180,Apr!B:AZ,22,FALSE)&lt;&gt;0,VLOOKUP(B180,Apr!B:AZ,22,FALSE),"")</f>
        <v/>
      </c>
      <c r="N180" s="327"/>
    </row>
    <row r="181" spans="2:14" x14ac:dyDescent="0.25">
      <c r="B181" s="245">
        <f>Apr!F19</f>
        <v>42105</v>
      </c>
      <c r="C181" s="35">
        <f t="shared" si="2"/>
        <v>42105</v>
      </c>
      <c r="D181" s="17" t="str">
        <f>IF(AND(VLOOKUP(B181,Apr!B:AZ,8,FALSE)&gt;0,VLOOKUP(B181,Apr!B:AZ,6,FALSE)=""), CONCATENATE(TEXT(VLOOKUP(B181,Apr!B:AZ,7,FALSE),"hh:mm"), "-", TEXT(VLOOKUP(B181,Apr!B:AZ,8,FALSE),"[hh]:mm")," Uhr ", IF(VLOOKUP(B181,Apr!B:AZ,12,FALSE)&gt;0, CONCATENATE("und ",TEXT(VLOOKUP(B181,Apr!B:AZ,12,FALSE),"hh:mm"), "-", TEXT(VLOOKUP(B181,Apr!B:AZ,13,FALSE),"[hh]:mm")," Uhr "),"")), IF(VLOOKUP(B181,Apr!B:AZ,6,FALSE)="","",VLOOKUP(VLOOKUP(B181,Apr!B:AZ,6,FALSE),Legende_Code,2,FALSE)))</f>
        <v/>
      </c>
      <c r="E181" s="16" t="str">
        <f>IF(AND(VLOOKUP(B181,Apr!B:AZ,6,FALSE)="", WEEKDAY(B181,2)=6,VLOOKUP(B181,Apr!B:AZ,48,FALSE)&gt;0),VLOOKUP(B181,Apr!B:AZ,48,FALSE)*24,"")</f>
        <v/>
      </c>
      <c r="F181" s="16" t="str">
        <f>IF(AND(VLOOKUP(B181,Apr!B:AZ,6,FALSE)="", WEEKDAY(B181,2)=7,VLOOKUP(B181,Apr!B:AZ,49,FALSE)&gt;0),VLOOKUP(B181,Apr!B:AZ,49,FALSE)*24,"")</f>
        <v/>
      </c>
      <c r="G181" s="16" t="str">
        <f>IF(AND(VLOOKUP(B181,Apr!B:AZ,6,FALSE)="",VLOOKUP(B181,Apr!B:AZ,46,FALSE)&gt;0),VLOOKUP(B181,Apr!B:AZ,46,FALSE)*24,"")</f>
        <v/>
      </c>
      <c r="H181" s="36" t="str">
        <f>IF(AND(VLOOKUP(B181,Apr!B:AZ,6,FALSE)="",VLOOKUP(B181,Apr!B:AZ,50,FALSE)&gt;0),VLOOKUP(B181,Apr!B:AZ,50,FALSE)*24,"")</f>
        <v/>
      </c>
      <c r="I181" s="30" t="str">
        <f>IF(AND(NETWORKDAYS(B181,B181,Feiertage)=1,VLOOKUP(B181,Apr!B:AZ,6,FALSE)="U"),"Urlaub","")</f>
        <v/>
      </c>
      <c r="J181" s="34" t="str">
        <f ca="1">IF(AND(VLOOKUP(B181,Apr!B:AZ,6,FALSE)="",VLOOKUP(B181,Apr!B:AZ,22,FALSE)&lt;0),"Absetzen von","")</f>
        <v/>
      </c>
      <c r="K181" s="263"/>
      <c r="M181" s="316" t="str">
        <f ca="1">IF(VLOOKUP(B181,Apr!B:AZ,22,FALSE)&lt;&gt;0,VLOOKUP(B181,Apr!B:AZ,22,FALSE),"")</f>
        <v/>
      </c>
      <c r="N181" s="327"/>
    </row>
    <row r="182" spans="2:14" x14ac:dyDescent="0.25">
      <c r="B182" s="245">
        <f>Apr!F20</f>
        <v>42106</v>
      </c>
      <c r="C182" s="35">
        <f t="shared" si="2"/>
        <v>42106</v>
      </c>
      <c r="D182" s="17" t="str">
        <f>IF(AND(VLOOKUP(B182,Apr!B:AZ,8,FALSE)&gt;0,VLOOKUP(B182,Apr!B:AZ,6,FALSE)=""), CONCATENATE(TEXT(VLOOKUP(B182,Apr!B:AZ,7,FALSE),"hh:mm"), "-", TEXT(VLOOKUP(B182,Apr!B:AZ,8,FALSE),"[hh]:mm")," Uhr ", IF(VLOOKUP(B182,Apr!B:AZ,12,FALSE)&gt;0, CONCATENATE("und ",TEXT(VLOOKUP(B182,Apr!B:AZ,12,FALSE),"hh:mm"), "-", TEXT(VLOOKUP(B182,Apr!B:AZ,13,FALSE),"[hh]:mm")," Uhr "),"")), IF(VLOOKUP(B182,Apr!B:AZ,6,FALSE)="","",VLOOKUP(VLOOKUP(B182,Apr!B:AZ,6,FALSE),Legende_Code,2,FALSE)))</f>
        <v/>
      </c>
      <c r="E182" s="16" t="str">
        <f>IF(AND(VLOOKUP(B182,Apr!B:AZ,6,FALSE)="", WEEKDAY(B182,2)=6,VLOOKUP(B182,Apr!B:AZ,48,FALSE)&gt;0),VLOOKUP(B182,Apr!B:AZ,48,FALSE)*24,"")</f>
        <v/>
      </c>
      <c r="F182" s="16" t="str">
        <f>IF(AND(VLOOKUP(B182,Apr!B:AZ,6,FALSE)="", WEEKDAY(B182,2)=7,VLOOKUP(B182,Apr!B:AZ,49,FALSE)&gt;0),VLOOKUP(B182,Apr!B:AZ,49,FALSE)*24,"")</f>
        <v/>
      </c>
      <c r="G182" s="16" t="str">
        <f>IF(AND(VLOOKUP(B182,Apr!B:AZ,6,FALSE)="",VLOOKUP(B182,Apr!B:AZ,46,FALSE)&gt;0),VLOOKUP(B182,Apr!B:AZ,46,FALSE)*24,"")</f>
        <v/>
      </c>
      <c r="H182" s="36" t="str">
        <f>IF(AND(VLOOKUP(B182,Apr!B:AZ,6,FALSE)="",VLOOKUP(B182,Apr!B:AZ,50,FALSE)&gt;0),VLOOKUP(B182,Apr!B:AZ,50,FALSE)*24,"")</f>
        <v/>
      </c>
      <c r="I182" s="30" t="str">
        <f>IF(AND(NETWORKDAYS(B182,B182,Feiertage)=1,VLOOKUP(B182,Apr!B:AZ,6,FALSE)="U"),"Urlaub","")</f>
        <v/>
      </c>
      <c r="J182" s="34" t="str">
        <f ca="1">IF(AND(VLOOKUP(B182,Apr!B:AZ,6,FALSE)="",VLOOKUP(B182,Apr!B:AZ,22,FALSE)&lt;0),"Absetzen von","")</f>
        <v/>
      </c>
      <c r="K182" s="263"/>
      <c r="M182" s="316" t="str">
        <f ca="1">IF(VLOOKUP(B182,Apr!B:AZ,22,FALSE)&lt;&gt;0,VLOOKUP(B182,Apr!B:AZ,22,FALSE),"")</f>
        <v/>
      </c>
      <c r="N182" s="327"/>
    </row>
    <row r="183" spans="2:14" x14ac:dyDescent="0.25">
      <c r="B183" s="245">
        <f>Apr!F21</f>
        <v>42107</v>
      </c>
      <c r="C183" s="35">
        <f t="shared" si="2"/>
        <v>42107</v>
      </c>
      <c r="D183" s="17" t="str">
        <f>IF(AND(VLOOKUP(B183,Apr!B:AZ,8,FALSE)&gt;0,VLOOKUP(B183,Apr!B:AZ,6,FALSE)=""), CONCATENATE(TEXT(VLOOKUP(B183,Apr!B:AZ,7,FALSE),"hh:mm"), "-", TEXT(VLOOKUP(B183,Apr!B:AZ,8,FALSE),"[hh]:mm")," Uhr ", IF(VLOOKUP(B183,Apr!B:AZ,12,FALSE)&gt;0, CONCATENATE("und ",TEXT(VLOOKUP(B183,Apr!B:AZ,12,FALSE),"hh:mm"), "-", TEXT(VLOOKUP(B183,Apr!B:AZ,13,FALSE),"[hh]:mm")," Uhr "),"")), IF(VLOOKUP(B183,Apr!B:AZ,6,FALSE)="","",VLOOKUP(VLOOKUP(B183,Apr!B:AZ,6,FALSE),Legende_Code,2,FALSE)))</f>
        <v/>
      </c>
      <c r="E183" s="16" t="str">
        <f>IF(AND(VLOOKUP(B183,Apr!B:AZ,6,FALSE)="", WEEKDAY(B183,2)=6,VLOOKUP(B183,Apr!B:AZ,48,FALSE)&gt;0),VLOOKUP(B183,Apr!B:AZ,48,FALSE)*24,"")</f>
        <v/>
      </c>
      <c r="F183" s="16" t="str">
        <f>IF(AND(VLOOKUP(B183,Apr!B:AZ,6,FALSE)="", WEEKDAY(B183,2)=7,VLOOKUP(B183,Apr!B:AZ,49,FALSE)&gt;0),VLOOKUP(B183,Apr!B:AZ,49,FALSE)*24,"")</f>
        <v/>
      </c>
      <c r="G183" s="16" t="str">
        <f>IF(AND(VLOOKUP(B183,Apr!B:AZ,6,FALSE)="",VLOOKUP(B183,Apr!B:AZ,46,FALSE)&gt;0),VLOOKUP(B183,Apr!B:AZ,46,FALSE)*24,"")</f>
        <v/>
      </c>
      <c r="H183" s="36" t="str">
        <f>IF(AND(VLOOKUP(B183,Apr!B:AZ,6,FALSE)="",VLOOKUP(B183,Apr!B:AZ,50,FALSE)&gt;0),VLOOKUP(B183,Apr!B:AZ,50,FALSE)*24,"")</f>
        <v/>
      </c>
      <c r="I183" s="30" t="str">
        <f>IF(AND(NETWORKDAYS(B183,B183,Feiertage)=1,VLOOKUP(B183,Apr!B:AZ,6,FALSE)="U"),"Urlaub","")</f>
        <v/>
      </c>
      <c r="J183" s="34" t="str">
        <f ca="1">IF(AND(VLOOKUP(B183,Apr!B:AZ,6,FALSE)="",VLOOKUP(B183,Apr!B:AZ,22,FALSE)&lt;0),"Absetzen von","")</f>
        <v/>
      </c>
      <c r="K183" s="263"/>
      <c r="M183" s="316" t="str">
        <f ca="1">IF(VLOOKUP(B183,Apr!B:AZ,22,FALSE)&lt;&gt;0,VLOOKUP(B183,Apr!B:AZ,22,FALSE),"")</f>
        <v/>
      </c>
      <c r="N183" s="327"/>
    </row>
    <row r="184" spans="2:14" x14ac:dyDescent="0.25">
      <c r="B184" s="245">
        <f>Apr!F22</f>
        <v>42108</v>
      </c>
      <c r="C184" s="35">
        <f t="shared" si="2"/>
        <v>42108</v>
      </c>
      <c r="D184" s="17" t="str">
        <f>IF(AND(VLOOKUP(B184,Apr!B:AZ,8,FALSE)&gt;0,VLOOKUP(B184,Apr!B:AZ,6,FALSE)=""), CONCATENATE(TEXT(VLOOKUP(B184,Apr!B:AZ,7,FALSE),"hh:mm"), "-", TEXT(VLOOKUP(B184,Apr!B:AZ,8,FALSE),"[hh]:mm")," Uhr ", IF(VLOOKUP(B184,Apr!B:AZ,12,FALSE)&gt;0, CONCATENATE("und ",TEXT(VLOOKUP(B184,Apr!B:AZ,12,FALSE),"hh:mm"), "-", TEXT(VLOOKUP(B184,Apr!B:AZ,13,FALSE),"[hh]:mm")," Uhr "),"")), IF(VLOOKUP(B184,Apr!B:AZ,6,FALSE)="","",VLOOKUP(VLOOKUP(B184,Apr!B:AZ,6,FALSE),Legende_Code,2,FALSE)))</f>
        <v/>
      </c>
      <c r="E184" s="16" t="str">
        <f>IF(AND(VLOOKUP(B184,Apr!B:AZ,6,FALSE)="", WEEKDAY(B184,2)=6,VLOOKUP(B184,Apr!B:AZ,48,FALSE)&gt;0),VLOOKUP(B184,Apr!B:AZ,48,FALSE)*24,"")</f>
        <v/>
      </c>
      <c r="F184" s="16" t="str">
        <f>IF(AND(VLOOKUP(B184,Apr!B:AZ,6,FALSE)="", WEEKDAY(B184,2)=7,VLOOKUP(B184,Apr!B:AZ,49,FALSE)&gt;0),VLOOKUP(B184,Apr!B:AZ,49,FALSE)*24,"")</f>
        <v/>
      </c>
      <c r="G184" s="16" t="str">
        <f>IF(AND(VLOOKUP(B184,Apr!B:AZ,6,FALSE)="",VLOOKUP(B184,Apr!B:AZ,46,FALSE)&gt;0),VLOOKUP(B184,Apr!B:AZ,46,FALSE)*24,"")</f>
        <v/>
      </c>
      <c r="H184" s="36" t="str">
        <f>IF(AND(VLOOKUP(B184,Apr!B:AZ,6,FALSE)="",VLOOKUP(B184,Apr!B:AZ,50,FALSE)&gt;0),VLOOKUP(B184,Apr!B:AZ,50,FALSE)*24,"")</f>
        <v/>
      </c>
      <c r="I184" s="30" t="str">
        <f>IF(AND(NETWORKDAYS(B184,B184,Feiertage)=1,VLOOKUP(B184,Apr!B:AZ,6,FALSE)="U"),"Urlaub","")</f>
        <v/>
      </c>
      <c r="J184" s="34" t="str">
        <f ca="1">IF(AND(VLOOKUP(B184,Apr!B:AZ,6,FALSE)="",VLOOKUP(B184,Apr!B:AZ,22,FALSE)&lt;0),"Absetzen von","")</f>
        <v/>
      </c>
      <c r="K184" s="263"/>
      <c r="M184" s="316" t="str">
        <f ca="1">IF(VLOOKUP(B184,Apr!B:AZ,22,FALSE)&lt;&gt;0,VLOOKUP(B184,Apr!B:AZ,22,FALSE),"")</f>
        <v/>
      </c>
      <c r="N184" s="327"/>
    </row>
    <row r="185" spans="2:14" x14ac:dyDescent="0.25">
      <c r="B185" s="245">
        <f>Apr!F23</f>
        <v>42109</v>
      </c>
      <c r="C185" s="35">
        <f t="shared" si="2"/>
        <v>42109</v>
      </c>
      <c r="D185" s="17" t="str">
        <f>IF(AND(VLOOKUP(B185,Apr!B:AZ,8,FALSE)&gt;0,VLOOKUP(B185,Apr!B:AZ,6,FALSE)=""), CONCATENATE(TEXT(VLOOKUP(B185,Apr!B:AZ,7,FALSE),"hh:mm"), "-", TEXT(VLOOKUP(B185,Apr!B:AZ,8,FALSE),"[hh]:mm")," Uhr ", IF(VLOOKUP(B185,Apr!B:AZ,12,FALSE)&gt;0, CONCATENATE("und ",TEXT(VLOOKUP(B185,Apr!B:AZ,12,FALSE),"hh:mm"), "-", TEXT(VLOOKUP(B185,Apr!B:AZ,13,FALSE),"[hh]:mm")," Uhr "),"")), IF(VLOOKUP(B185,Apr!B:AZ,6,FALSE)="","",VLOOKUP(VLOOKUP(B185,Apr!B:AZ,6,FALSE),Legende_Code,2,FALSE)))</f>
        <v/>
      </c>
      <c r="E185" s="16" t="str">
        <f>IF(AND(VLOOKUP(B185,Apr!B:AZ,6,FALSE)="", WEEKDAY(B185,2)=6,VLOOKUP(B185,Apr!B:AZ,48,FALSE)&gt;0),VLOOKUP(B185,Apr!B:AZ,48,FALSE)*24,"")</f>
        <v/>
      </c>
      <c r="F185" s="16" t="str">
        <f>IF(AND(VLOOKUP(B185,Apr!B:AZ,6,FALSE)="", WEEKDAY(B185,2)=7,VLOOKUP(B185,Apr!B:AZ,49,FALSE)&gt;0),VLOOKUP(B185,Apr!B:AZ,49,FALSE)*24,"")</f>
        <v/>
      </c>
      <c r="G185" s="16" t="str">
        <f>IF(AND(VLOOKUP(B185,Apr!B:AZ,6,FALSE)="",VLOOKUP(B185,Apr!B:AZ,46,FALSE)&gt;0),VLOOKUP(B185,Apr!B:AZ,46,FALSE)*24,"")</f>
        <v/>
      </c>
      <c r="H185" s="36" t="str">
        <f>IF(AND(VLOOKUP(B185,Apr!B:AZ,6,FALSE)="",VLOOKUP(B185,Apr!B:AZ,50,FALSE)&gt;0),VLOOKUP(B185,Apr!B:AZ,50,FALSE)*24,"")</f>
        <v/>
      </c>
      <c r="I185" s="30" t="str">
        <f>IF(AND(NETWORKDAYS(B185,B185,Feiertage)=1,VLOOKUP(B185,Apr!B:AZ,6,FALSE)="U"),"Urlaub","")</f>
        <v/>
      </c>
      <c r="J185" s="34" t="str">
        <f ca="1">IF(AND(VLOOKUP(B185,Apr!B:AZ,6,FALSE)="",VLOOKUP(B185,Apr!B:AZ,22,FALSE)&lt;0),"Absetzen von","")</f>
        <v/>
      </c>
      <c r="K185" s="263"/>
      <c r="M185" s="316" t="str">
        <f ca="1">IF(VLOOKUP(B185,Apr!B:AZ,22,FALSE)&lt;&gt;0,VLOOKUP(B185,Apr!B:AZ,22,FALSE),"")</f>
        <v/>
      </c>
      <c r="N185" s="327"/>
    </row>
    <row r="186" spans="2:14" x14ac:dyDescent="0.25">
      <c r="B186" s="245">
        <f>Apr!F24</f>
        <v>42110</v>
      </c>
      <c r="C186" s="35">
        <f t="shared" si="2"/>
        <v>42110</v>
      </c>
      <c r="D186" s="17" t="str">
        <f>IF(AND(VLOOKUP(B186,Apr!B:AZ,8,FALSE)&gt;0,VLOOKUP(B186,Apr!B:AZ,6,FALSE)=""), CONCATENATE(TEXT(VLOOKUP(B186,Apr!B:AZ,7,FALSE),"hh:mm"), "-", TEXT(VLOOKUP(B186,Apr!B:AZ,8,FALSE),"[hh]:mm")," Uhr ", IF(VLOOKUP(B186,Apr!B:AZ,12,FALSE)&gt;0, CONCATENATE("und ",TEXT(VLOOKUP(B186,Apr!B:AZ,12,FALSE),"hh:mm"), "-", TEXT(VLOOKUP(B186,Apr!B:AZ,13,FALSE),"[hh]:mm")," Uhr "),"")), IF(VLOOKUP(B186,Apr!B:AZ,6,FALSE)="","",VLOOKUP(VLOOKUP(B186,Apr!B:AZ,6,FALSE),Legende_Code,2,FALSE)))</f>
        <v/>
      </c>
      <c r="E186" s="16" t="str">
        <f>IF(AND(VLOOKUP(B186,Apr!B:AZ,6,FALSE)="", WEEKDAY(B186,2)=6,VLOOKUP(B186,Apr!B:AZ,48,FALSE)&gt;0),VLOOKUP(B186,Apr!B:AZ,48,FALSE)*24,"")</f>
        <v/>
      </c>
      <c r="F186" s="16" t="str">
        <f>IF(AND(VLOOKUP(B186,Apr!B:AZ,6,FALSE)="", WEEKDAY(B186,2)=7,VLOOKUP(B186,Apr!B:AZ,49,FALSE)&gt;0),VLOOKUP(B186,Apr!B:AZ,49,FALSE)*24,"")</f>
        <v/>
      </c>
      <c r="G186" s="16" t="str">
        <f>IF(AND(VLOOKUP(B186,Apr!B:AZ,6,FALSE)="",VLOOKUP(B186,Apr!B:AZ,46,FALSE)&gt;0),VLOOKUP(B186,Apr!B:AZ,46,FALSE)*24,"")</f>
        <v/>
      </c>
      <c r="H186" s="36" t="str">
        <f>IF(AND(VLOOKUP(B186,Apr!B:AZ,6,FALSE)="",VLOOKUP(B186,Apr!B:AZ,50,FALSE)&gt;0),VLOOKUP(B186,Apr!B:AZ,50,FALSE)*24,"")</f>
        <v/>
      </c>
      <c r="I186" s="30" t="str">
        <f>IF(AND(NETWORKDAYS(B186,B186,Feiertage)=1,VLOOKUP(B186,Apr!B:AZ,6,FALSE)="U"),"Urlaub","")</f>
        <v/>
      </c>
      <c r="J186" s="34" t="str">
        <f ca="1">IF(AND(VLOOKUP(B186,Apr!B:AZ,6,FALSE)="",VLOOKUP(B186,Apr!B:AZ,22,FALSE)&lt;0),"Absetzen von","")</f>
        <v/>
      </c>
      <c r="K186" s="263"/>
      <c r="M186" s="316" t="str">
        <f ca="1">IF(VLOOKUP(B186,Apr!B:AZ,22,FALSE)&lt;&gt;0,VLOOKUP(B186,Apr!B:AZ,22,FALSE),"")</f>
        <v/>
      </c>
      <c r="N186" s="327"/>
    </row>
    <row r="187" spans="2:14" x14ac:dyDescent="0.25">
      <c r="B187" s="245">
        <f>Apr!F25</f>
        <v>42111</v>
      </c>
      <c r="C187" s="35">
        <f t="shared" si="2"/>
        <v>42111</v>
      </c>
      <c r="D187" s="17" t="str">
        <f>IF(AND(VLOOKUP(B187,Apr!B:AZ,8,FALSE)&gt;0,VLOOKUP(B187,Apr!B:AZ,6,FALSE)=""), CONCATENATE(TEXT(VLOOKUP(B187,Apr!B:AZ,7,FALSE),"hh:mm"), "-", TEXT(VLOOKUP(B187,Apr!B:AZ,8,FALSE),"[hh]:mm")," Uhr ", IF(VLOOKUP(B187,Apr!B:AZ,12,FALSE)&gt;0, CONCATENATE("und ",TEXT(VLOOKUP(B187,Apr!B:AZ,12,FALSE),"hh:mm"), "-", TEXT(VLOOKUP(B187,Apr!B:AZ,13,FALSE),"[hh]:mm")," Uhr "),"")), IF(VLOOKUP(B187,Apr!B:AZ,6,FALSE)="","",VLOOKUP(VLOOKUP(B187,Apr!B:AZ,6,FALSE),Legende_Code,2,FALSE)))</f>
        <v/>
      </c>
      <c r="E187" s="16" t="str">
        <f>IF(AND(VLOOKUP(B187,Apr!B:AZ,6,FALSE)="", WEEKDAY(B187,2)=6,VLOOKUP(B187,Apr!B:AZ,48,FALSE)&gt;0),VLOOKUP(B187,Apr!B:AZ,48,FALSE)*24,"")</f>
        <v/>
      </c>
      <c r="F187" s="16" t="str">
        <f>IF(AND(VLOOKUP(B187,Apr!B:AZ,6,FALSE)="", WEEKDAY(B187,2)=7,VLOOKUP(B187,Apr!B:AZ,49,FALSE)&gt;0),VLOOKUP(B187,Apr!B:AZ,49,FALSE)*24,"")</f>
        <v/>
      </c>
      <c r="G187" s="16" t="str">
        <f>IF(AND(VLOOKUP(B187,Apr!B:AZ,6,FALSE)="",VLOOKUP(B187,Apr!B:AZ,46,FALSE)&gt;0),VLOOKUP(B187,Apr!B:AZ,46,FALSE)*24,"")</f>
        <v/>
      </c>
      <c r="H187" s="36" t="str">
        <f>IF(AND(VLOOKUP(B187,Apr!B:AZ,6,FALSE)="",VLOOKUP(B187,Apr!B:AZ,50,FALSE)&gt;0),VLOOKUP(B187,Apr!B:AZ,50,FALSE)*24,"")</f>
        <v/>
      </c>
      <c r="I187" s="30" t="str">
        <f>IF(AND(NETWORKDAYS(B187,B187,Feiertage)=1,VLOOKUP(B187,Apr!B:AZ,6,FALSE)="U"),"Urlaub","")</f>
        <v/>
      </c>
      <c r="J187" s="34" t="str">
        <f ca="1">IF(AND(VLOOKUP(B187,Apr!B:AZ,6,FALSE)="",VLOOKUP(B187,Apr!B:AZ,22,FALSE)&lt;0),"Absetzen von","")</f>
        <v/>
      </c>
      <c r="K187" s="263"/>
      <c r="M187" s="316" t="str">
        <f ca="1">IF(VLOOKUP(B187,Apr!B:AZ,22,FALSE)&lt;&gt;0,VLOOKUP(B187,Apr!B:AZ,22,FALSE),"")</f>
        <v/>
      </c>
      <c r="N187" s="327"/>
    </row>
    <row r="188" spans="2:14" x14ac:dyDescent="0.25">
      <c r="B188" s="245">
        <f>Apr!F26</f>
        <v>42112</v>
      </c>
      <c r="C188" s="35">
        <f t="shared" si="2"/>
        <v>42112</v>
      </c>
      <c r="D188" s="17" t="str">
        <f>IF(AND(VLOOKUP(B188,Apr!B:AZ,8,FALSE)&gt;0,VLOOKUP(B188,Apr!B:AZ,6,FALSE)=""), CONCATENATE(TEXT(VLOOKUP(B188,Apr!B:AZ,7,FALSE),"hh:mm"), "-", TEXT(VLOOKUP(B188,Apr!B:AZ,8,FALSE),"[hh]:mm")," Uhr ", IF(VLOOKUP(B188,Apr!B:AZ,12,FALSE)&gt;0, CONCATENATE("und ",TEXT(VLOOKUP(B188,Apr!B:AZ,12,FALSE),"hh:mm"), "-", TEXT(VLOOKUP(B188,Apr!B:AZ,13,FALSE),"[hh]:mm")," Uhr "),"")), IF(VLOOKUP(B188,Apr!B:AZ,6,FALSE)="","",VLOOKUP(VLOOKUP(B188,Apr!B:AZ,6,FALSE),Legende_Code,2,FALSE)))</f>
        <v/>
      </c>
      <c r="E188" s="16" t="str">
        <f>IF(AND(VLOOKUP(B188,Apr!B:AZ,6,FALSE)="", WEEKDAY(B188,2)=6,VLOOKUP(B188,Apr!B:AZ,48,FALSE)&gt;0),VLOOKUP(B188,Apr!B:AZ,48,FALSE)*24,"")</f>
        <v/>
      </c>
      <c r="F188" s="16" t="str">
        <f>IF(AND(VLOOKUP(B188,Apr!B:AZ,6,FALSE)="", WEEKDAY(B188,2)=7,VLOOKUP(B188,Apr!B:AZ,49,FALSE)&gt;0),VLOOKUP(B188,Apr!B:AZ,49,FALSE)*24,"")</f>
        <v/>
      </c>
      <c r="G188" s="16" t="str">
        <f>IF(AND(VLOOKUP(B188,Apr!B:AZ,6,FALSE)="",VLOOKUP(B188,Apr!B:AZ,46,FALSE)&gt;0),VLOOKUP(B188,Apr!B:AZ,46,FALSE)*24,"")</f>
        <v/>
      </c>
      <c r="H188" s="36" t="str">
        <f>IF(AND(VLOOKUP(B188,Apr!B:AZ,6,FALSE)="",VLOOKUP(B188,Apr!B:AZ,50,FALSE)&gt;0),VLOOKUP(B188,Apr!B:AZ,50,FALSE)*24,"")</f>
        <v/>
      </c>
      <c r="I188" s="30" t="str">
        <f>IF(AND(NETWORKDAYS(B188,B188,Feiertage)=1,VLOOKUP(B188,Apr!B:AZ,6,FALSE)="U"),"Urlaub","")</f>
        <v/>
      </c>
      <c r="J188" s="34" t="str">
        <f>IF(AND(VLOOKUP(B188,Apr!B:AZ,6,FALSE)="",VLOOKUP(B188,Apr!B:AZ,22,FALSE)&lt;0),"Absetzen von","")</f>
        <v/>
      </c>
      <c r="K188" s="263"/>
      <c r="M188" s="316" t="str">
        <f>IF(VLOOKUP(B188,Apr!B:AZ,22,FALSE)&lt;&gt;0,VLOOKUP(B188,Apr!B:AZ,22,FALSE),"")</f>
        <v/>
      </c>
      <c r="N188" s="327"/>
    </row>
    <row r="189" spans="2:14" x14ac:dyDescent="0.25">
      <c r="B189" s="245">
        <f>Apr!F27</f>
        <v>42113</v>
      </c>
      <c r="C189" s="35">
        <f t="shared" si="2"/>
        <v>42113</v>
      </c>
      <c r="D189" s="17" t="str">
        <f>IF(AND(VLOOKUP(B189,Apr!B:AZ,8,FALSE)&gt;0,VLOOKUP(B189,Apr!B:AZ,6,FALSE)=""), CONCATENATE(TEXT(VLOOKUP(B189,Apr!B:AZ,7,FALSE),"hh:mm"), "-", TEXT(VLOOKUP(B189,Apr!B:AZ,8,FALSE),"[hh]:mm")," Uhr ", IF(VLOOKUP(B189,Apr!B:AZ,12,FALSE)&gt;0, CONCATENATE("und ",TEXT(VLOOKUP(B189,Apr!B:AZ,12,FALSE),"hh:mm"), "-", TEXT(VLOOKUP(B189,Apr!B:AZ,13,FALSE),"[hh]:mm")," Uhr "),"")), IF(VLOOKUP(B189,Apr!B:AZ,6,FALSE)="","",VLOOKUP(VLOOKUP(B189,Apr!B:AZ,6,FALSE),Legende_Code,2,FALSE)))</f>
        <v/>
      </c>
      <c r="E189" s="16" t="str">
        <f>IF(AND(VLOOKUP(B189,Apr!B:AZ,6,FALSE)="", WEEKDAY(B189,2)=6,VLOOKUP(B189,Apr!B:AZ,48,FALSE)&gt;0),VLOOKUP(B189,Apr!B:AZ,48,FALSE)*24,"")</f>
        <v/>
      </c>
      <c r="F189" s="16" t="str">
        <f>IF(AND(VLOOKUP(B189,Apr!B:AZ,6,FALSE)="", WEEKDAY(B189,2)=7,VLOOKUP(B189,Apr!B:AZ,49,FALSE)&gt;0),VLOOKUP(B189,Apr!B:AZ,49,FALSE)*24,"")</f>
        <v/>
      </c>
      <c r="G189" s="16" t="str">
        <f>IF(AND(VLOOKUP(B189,Apr!B:AZ,6,FALSE)="",VLOOKUP(B189,Apr!B:AZ,46,FALSE)&gt;0),VLOOKUP(B189,Apr!B:AZ,46,FALSE)*24,"")</f>
        <v/>
      </c>
      <c r="H189" s="36" t="str">
        <f>IF(AND(VLOOKUP(B189,Apr!B:AZ,6,FALSE)="",VLOOKUP(B189,Apr!B:AZ,50,FALSE)&gt;0),VLOOKUP(B189,Apr!B:AZ,50,FALSE)*24,"")</f>
        <v/>
      </c>
      <c r="I189" s="30" t="str">
        <f>IF(AND(NETWORKDAYS(B189,B189,Feiertage)=1,VLOOKUP(B189,Apr!B:AZ,6,FALSE)="U"),"Urlaub","")</f>
        <v/>
      </c>
      <c r="J189" s="34" t="str">
        <f>IF(AND(VLOOKUP(B189,Apr!B:AZ,6,FALSE)="",VLOOKUP(B189,Apr!B:AZ,22,FALSE)&lt;0),"Absetzen von","")</f>
        <v/>
      </c>
      <c r="K189" s="263"/>
      <c r="M189" s="316" t="str">
        <f>IF(VLOOKUP(B189,Apr!B:AZ,22,FALSE)&lt;&gt;0,VLOOKUP(B189,Apr!B:AZ,22,FALSE),"")</f>
        <v/>
      </c>
      <c r="N189" s="327"/>
    </row>
    <row r="190" spans="2:14" x14ac:dyDescent="0.25">
      <c r="B190" s="245">
        <f>Apr!F28</f>
        <v>42114</v>
      </c>
      <c r="C190" s="35">
        <f t="shared" si="2"/>
        <v>42114</v>
      </c>
      <c r="D190" s="17" t="str">
        <f>IF(AND(VLOOKUP(B190,Apr!B:AZ,8,FALSE)&gt;0,VLOOKUP(B190,Apr!B:AZ,6,FALSE)=""), CONCATENATE(TEXT(VLOOKUP(B190,Apr!B:AZ,7,FALSE),"hh:mm"), "-", TEXT(VLOOKUP(B190,Apr!B:AZ,8,FALSE),"[hh]:mm")," Uhr ", IF(VLOOKUP(B190,Apr!B:AZ,12,FALSE)&gt;0, CONCATENATE("und ",TEXT(VLOOKUP(B190,Apr!B:AZ,12,FALSE),"hh:mm"), "-", TEXT(VLOOKUP(B190,Apr!B:AZ,13,FALSE),"[hh]:mm")," Uhr "),"")), IF(VLOOKUP(B190,Apr!B:AZ,6,FALSE)="","",VLOOKUP(VLOOKUP(B190,Apr!B:AZ,6,FALSE),Legende_Code,2,FALSE)))</f>
        <v/>
      </c>
      <c r="E190" s="16" t="str">
        <f>IF(AND(VLOOKUP(B190,Apr!B:AZ,6,FALSE)="", WEEKDAY(B190,2)=6,VLOOKUP(B190,Apr!B:AZ,48,FALSE)&gt;0),VLOOKUP(B190,Apr!B:AZ,48,FALSE)*24,"")</f>
        <v/>
      </c>
      <c r="F190" s="16" t="str">
        <f>IF(AND(VLOOKUP(B190,Apr!B:AZ,6,FALSE)="", WEEKDAY(B190,2)=7,VLOOKUP(B190,Apr!B:AZ,49,FALSE)&gt;0),VLOOKUP(B190,Apr!B:AZ,49,FALSE)*24,"")</f>
        <v/>
      </c>
      <c r="G190" s="16" t="str">
        <f>IF(AND(VLOOKUP(B190,Apr!B:AZ,6,FALSE)="",VLOOKUP(B190,Apr!B:AZ,46,FALSE)&gt;0),VLOOKUP(B190,Apr!B:AZ,46,FALSE)*24,"")</f>
        <v/>
      </c>
      <c r="H190" s="36" t="str">
        <f>IF(AND(VLOOKUP(B190,Apr!B:AZ,6,FALSE)="",VLOOKUP(B190,Apr!B:AZ,50,FALSE)&gt;0),VLOOKUP(B190,Apr!B:AZ,50,FALSE)*24,"")</f>
        <v/>
      </c>
      <c r="I190" s="30" t="str">
        <f>IF(AND(NETWORKDAYS(B190,B190,Feiertage)=1,VLOOKUP(B190,Apr!B:AZ,6,FALSE)="U"),"Urlaub","")</f>
        <v/>
      </c>
      <c r="J190" s="34" t="str">
        <f>IF(AND(VLOOKUP(B190,Apr!B:AZ,6,FALSE)="",VLOOKUP(B190,Apr!B:AZ,22,FALSE)&lt;0),"Absetzen von","")</f>
        <v/>
      </c>
      <c r="K190" s="263"/>
      <c r="M190" s="316" t="str">
        <f>IF(VLOOKUP(B190,Apr!B:AZ,22,FALSE)&lt;&gt;0,VLOOKUP(B190,Apr!B:AZ,22,FALSE),"")</f>
        <v/>
      </c>
      <c r="N190" s="327"/>
    </row>
    <row r="191" spans="2:14" x14ac:dyDescent="0.25">
      <c r="B191" s="245">
        <f>Apr!F29</f>
        <v>42115</v>
      </c>
      <c r="C191" s="35">
        <f t="shared" si="2"/>
        <v>42115</v>
      </c>
      <c r="D191" s="17" t="str">
        <f>IF(AND(VLOOKUP(B191,Apr!B:AZ,8,FALSE)&gt;0,VLOOKUP(B191,Apr!B:AZ,6,FALSE)=""), CONCATENATE(TEXT(VLOOKUP(B191,Apr!B:AZ,7,FALSE),"hh:mm"), "-", TEXT(VLOOKUP(B191,Apr!B:AZ,8,FALSE),"[hh]:mm")," Uhr ", IF(VLOOKUP(B191,Apr!B:AZ,12,FALSE)&gt;0, CONCATENATE("und ",TEXT(VLOOKUP(B191,Apr!B:AZ,12,FALSE),"hh:mm"), "-", TEXT(VLOOKUP(B191,Apr!B:AZ,13,FALSE),"[hh]:mm")," Uhr "),"")), IF(VLOOKUP(B191,Apr!B:AZ,6,FALSE)="","",VLOOKUP(VLOOKUP(B191,Apr!B:AZ,6,FALSE),Legende_Code,2,FALSE)))</f>
        <v/>
      </c>
      <c r="E191" s="16" t="str">
        <f>IF(AND(VLOOKUP(B191,Apr!B:AZ,6,FALSE)="", WEEKDAY(B191,2)=6,VLOOKUP(B191,Apr!B:AZ,48,FALSE)&gt;0),VLOOKUP(B191,Apr!B:AZ,48,FALSE)*24,"")</f>
        <v/>
      </c>
      <c r="F191" s="16" t="str">
        <f>IF(AND(VLOOKUP(B191,Apr!B:AZ,6,FALSE)="", WEEKDAY(B191,2)=7,VLOOKUP(B191,Apr!B:AZ,49,FALSE)&gt;0),VLOOKUP(B191,Apr!B:AZ,49,FALSE)*24,"")</f>
        <v/>
      </c>
      <c r="G191" s="16" t="str">
        <f>IF(AND(VLOOKUP(B191,Apr!B:AZ,6,FALSE)="",VLOOKUP(B191,Apr!B:AZ,46,FALSE)&gt;0),VLOOKUP(B191,Apr!B:AZ,46,FALSE)*24,"")</f>
        <v/>
      </c>
      <c r="H191" s="36" t="str">
        <f>IF(AND(VLOOKUP(B191,Apr!B:AZ,6,FALSE)="",VLOOKUP(B191,Apr!B:AZ,50,FALSE)&gt;0),VLOOKUP(B191,Apr!B:AZ,50,FALSE)*24,"")</f>
        <v/>
      </c>
      <c r="I191" s="30" t="str">
        <f>IF(AND(NETWORKDAYS(B191,B191,Feiertage)=1,VLOOKUP(B191,Apr!B:AZ,6,FALSE)="U"),"Urlaub","")</f>
        <v/>
      </c>
      <c r="J191" s="34" t="str">
        <f>IF(AND(VLOOKUP(B191,Apr!B:AZ,6,FALSE)="",VLOOKUP(B191,Apr!B:AZ,22,FALSE)&lt;0),"Absetzen von","")</f>
        <v/>
      </c>
      <c r="K191" s="263"/>
      <c r="M191" s="316" t="str">
        <f>IF(VLOOKUP(B191,Apr!B:AZ,22,FALSE)&lt;&gt;0,VLOOKUP(B191,Apr!B:AZ,22,FALSE),"")</f>
        <v/>
      </c>
      <c r="N191" s="327"/>
    </row>
    <row r="192" spans="2:14" x14ac:dyDescent="0.25">
      <c r="B192" s="245">
        <f>Apr!F30</f>
        <v>42116</v>
      </c>
      <c r="C192" s="35">
        <f t="shared" si="2"/>
        <v>42116</v>
      </c>
      <c r="D192" s="17" t="str">
        <f>IF(AND(VLOOKUP(B192,Apr!B:AZ,8,FALSE)&gt;0,VLOOKUP(B192,Apr!B:AZ,6,FALSE)=""), CONCATENATE(TEXT(VLOOKUP(B192,Apr!B:AZ,7,FALSE),"hh:mm"), "-", TEXT(VLOOKUP(B192,Apr!B:AZ,8,FALSE),"[hh]:mm")," Uhr ", IF(VLOOKUP(B192,Apr!B:AZ,12,FALSE)&gt;0, CONCATENATE("und ",TEXT(VLOOKUP(B192,Apr!B:AZ,12,FALSE),"hh:mm"), "-", TEXT(VLOOKUP(B192,Apr!B:AZ,13,FALSE),"[hh]:mm")," Uhr "),"")), IF(VLOOKUP(B192,Apr!B:AZ,6,FALSE)="","",VLOOKUP(VLOOKUP(B192,Apr!B:AZ,6,FALSE),Legende_Code,2,FALSE)))</f>
        <v/>
      </c>
      <c r="E192" s="16" t="str">
        <f>IF(AND(VLOOKUP(B192,Apr!B:AZ,6,FALSE)="", WEEKDAY(B192,2)=6,VLOOKUP(B192,Apr!B:AZ,48,FALSE)&gt;0),VLOOKUP(B192,Apr!B:AZ,48,FALSE)*24,"")</f>
        <v/>
      </c>
      <c r="F192" s="16" t="str">
        <f>IF(AND(VLOOKUP(B192,Apr!B:AZ,6,FALSE)="", WEEKDAY(B192,2)=7,VLOOKUP(B192,Apr!B:AZ,49,FALSE)&gt;0),VLOOKUP(B192,Apr!B:AZ,49,FALSE)*24,"")</f>
        <v/>
      </c>
      <c r="G192" s="16" t="str">
        <f>IF(AND(VLOOKUP(B192,Apr!B:AZ,6,FALSE)="",VLOOKUP(B192,Apr!B:AZ,46,FALSE)&gt;0),VLOOKUP(B192,Apr!B:AZ,46,FALSE)*24,"")</f>
        <v/>
      </c>
      <c r="H192" s="36" t="str">
        <f>IF(AND(VLOOKUP(B192,Apr!B:AZ,6,FALSE)="",VLOOKUP(B192,Apr!B:AZ,50,FALSE)&gt;0),VLOOKUP(B192,Apr!B:AZ,50,FALSE)*24,"")</f>
        <v/>
      </c>
      <c r="I192" s="30" t="str">
        <f>IF(AND(NETWORKDAYS(B192,B192,Feiertage)=1,VLOOKUP(B192,Apr!B:AZ,6,FALSE)="U"),"Urlaub","")</f>
        <v/>
      </c>
      <c r="J192" s="34" t="str">
        <f ca="1">IF(AND(VLOOKUP(B192,Apr!B:AZ,6,FALSE)="",VLOOKUP(B192,Apr!B:AZ,22,FALSE)&lt;0),"Absetzen von","")</f>
        <v/>
      </c>
      <c r="K192" s="263"/>
      <c r="M192" s="316" t="str">
        <f ca="1">IF(VLOOKUP(B192,Apr!B:AZ,22,FALSE)&lt;&gt;0,VLOOKUP(B192,Apr!B:AZ,22,FALSE),"")</f>
        <v/>
      </c>
      <c r="N192" s="327"/>
    </row>
    <row r="193" spans="2:14" x14ac:dyDescent="0.25">
      <c r="B193" s="245">
        <f>Apr!F31</f>
        <v>42117</v>
      </c>
      <c r="C193" s="35">
        <f t="shared" si="2"/>
        <v>42117</v>
      </c>
      <c r="D193" s="17" t="str">
        <f>IF(AND(VLOOKUP(B193,Apr!B:AZ,8,FALSE)&gt;0,VLOOKUP(B193,Apr!B:AZ,6,FALSE)=""), CONCATENATE(TEXT(VLOOKUP(B193,Apr!B:AZ,7,FALSE),"hh:mm"), "-", TEXT(VLOOKUP(B193,Apr!B:AZ,8,FALSE),"[hh]:mm")," Uhr ", IF(VLOOKUP(B193,Apr!B:AZ,12,FALSE)&gt;0, CONCATENATE("und ",TEXT(VLOOKUP(B193,Apr!B:AZ,12,FALSE),"hh:mm"), "-", TEXT(VLOOKUP(B193,Apr!B:AZ,13,FALSE),"[hh]:mm")," Uhr "),"")), IF(VLOOKUP(B193,Apr!B:AZ,6,FALSE)="","",VLOOKUP(VLOOKUP(B193,Apr!B:AZ,6,FALSE),Legende_Code,2,FALSE)))</f>
        <v/>
      </c>
      <c r="E193" s="16" t="str">
        <f>IF(AND(VLOOKUP(B193,Apr!B:AZ,6,FALSE)="", WEEKDAY(B193,2)=6,VLOOKUP(B193,Apr!B:AZ,48,FALSE)&gt;0),VLOOKUP(B193,Apr!B:AZ,48,FALSE)*24,"")</f>
        <v/>
      </c>
      <c r="F193" s="16" t="str">
        <f>IF(AND(VLOOKUP(B193,Apr!B:AZ,6,FALSE)="", WEEKDAY(B193,2)=7,VLOOKUP(B193,Apr!B:AZ,49,FALSE)&gt;0),VLOOKUP(B193,Apr!B:AZ,49,FALSE)*24,"")</f>
        <v/>
      </c>
      <c r="G193" s="16" t="str">
        <f>IF(AND(VLOOKUP(B193,Apr!B:AZ,6,FALSE)="",VLOOKUP(B193,Apr!B:AZ,46,FALSE)&gt;0),VLOOKUP(B193,Apr!B:AZ,46,FALSE)*24,"")</f>
        <v/>
      </c>
      <c r="H193" s="36" t="str">
        <f>IF(AND(VLOOKUP(B193,Apr!B:AZ,6,FALSE)="",VLOOKUP(B193,Apr!B:AZ,50,FALSE)&gt;0),VLOOKUP(B193,Apr!B:AZ,50,FALSE)*24,"")</f>
        <v/>
      </c>
      <c r="I193" s="30" t="str">
        <f>IF(AND(NETWORKDAYS(B193,B193,Feiertage)=1,VLOOKUP(B193,Apr!B:AZ,6,FALSE)="U"),"Urlaub","")</f>
        <v/>
      </c>
      <c r="J193" s="34" t="str">
        <f ca="1">IF(AND(VLOOKUP(B193,Apr!B:AZ,6,FALSE)="",VLOOKUP(B193,Apr!B:AZ,22,FALSE)&lt;0),"Absetzen von","")</f>
        <v/>
      </c>
      <c r="K193" s="263"/>
      <c r="M193" s="316" t="str">
        <f ca="1">IF(VLOOKUP(B193,Apr!B:AZ,22,FALSE)&lt;&gt;0,VLOOKUP(B193,Apr!B:AZ,22,FALSE),"")</f>
        <v/>
      </c>
      <c r="N193" s="327"/>
    </row>
    <row r="194" spans="2:14" x14ac:dyDescent="0.25">
      <c r="B194" s="245">
        <f>Apr!F32</f>
        <v>42118</v>
      </c>
      <c r="C194" s="35">
        <f t="shared" si="2"/>
        <v>42118</v>
      </c>
      <c r="D194" s="17" t="str">
        <f>IF(AND(VLOOKUP(B194,Apr!B:AZ,8,FALSE)&gt;0,VLOOKUP(B194,Apr!B:AZ,6,FALSE)=""), CONCATENATE(TEXT(VLOOKUP(B194,Apr!B:AZ,7,FALSE),"hh:mm"), "-", TEXT(VLOOKUP(B194,Apr!B:AZ,8,FALSE),"[hh]:mm")," Uhr ", IF(VLOOKUP(B194,Apr!B:AZ,12,FALSE)&gt;0, CONCATENATE("und ",TEXT(VLOOKUP(B194,Apr!B:AZ,12,FALSE),"hh:mm"), "-", TEXT(VLOOKUP(B194,Apr!B:AZ,13,FALSE),"[hh]:mm")," Uhr "),"")), IF(VLOOKUP(B194,Apr!B:AZ,6,FALSE)="","",VLOOKUP(VLOOKUP(B194,Apr!B:AZ,6,FALSE),Legende_Code,2,FALSE)))</f>
        <v/>
      </c>
      <c r="E194" s="16" t="str">
        <f>IF(AND(VLOOKUP(B194,Apr!B:AZ,6,FALSE)="", WEEKDAY(B194,2)=6,VLOOKUP(B194,Apr!B:AZ,48,FALSE)&gt;0),VLOOKUP(B194,Apr!B:AZ,48,FALSE)*24,"")</f>
        <v/>
      </c>
      <c r="F194" s="16" t="str">
        <f>IF(AND(VLOOKUP(B194,Apr!B:AZ,6,FALSE)="", WEEKDAY(B194,2)=7,VLOOKUP(B194,Apr!B:AZ,49,FALSE)&gt;0),VLOOKUP(B194,Apr!B:AZ,49,FALSE)*24,"")</f>
        <v/>
      </c>
      <c r="G194" s="16" t="str">
        <f>IF(AND(VLOOKUP(B194,Apr!B:AZ,6,FALSE)="",VLOOKUP(B194,Apr!B:AZ,46,FALSE)&gt;0),VLOOKUP(B194,Apr!B:AZ,46,FALSE)*24,"")</f>
        <v/>
      </c>
      <c r="H194" s="36" t="str">
        <f>IF(AND(VLOOKUP(B194,Apr!B:AZ,6,FALSE)="",VLOOKUP(B194,Apr!B:AZ,50,FALSE)&gt;0),VLOOKUP(B194,Apr!B:AZ,50,FALSE)*24,"")</f>
        <v/>
      </c>
      <c r="I194" s="30" t="str">
        <f>IF(AND(NETWORKDAYS(B194,B194,Feiertage)=1,VLOOKUP(B194,Apr!B:AZ,6,FALSE)="U"),"Urlaub","")</f>
        <v/>
      </c>
      <c r="J194" s="34" t="str">
        <f ca="1">IF(AND(VLOOKUP(B194,Apr!B:AZ,6,FALSE)="",VLOOKUP(B194,Apr!B:AZ,22,FALSE)&lt;0),"Absetzen von","")</f>
        <v/>
      </c>
      <c r="K194" s="263"/>
      <c r="M194" s="316" t="str">
        <f ca="1">IF(VLOOKUP(B194,Apr!B:AZ,22,FALSE)&lt;&gt;0,VLOOKUP(B194,Apr!B:AZ,22,FALSE),"")</f>
        <v/>
      </c>
      <c r="N194" s="327"/>
    </row>
    <row r="195" spans="2:14" x14ac:dyDescent="0.25">
      <c r="B195" s="245">
        <f>Apr!F33</f>
        <v>42119</v>
      </c>
      <c r="C195" s="35">
        <f t="shared" si="2"/>
        <v>42119</v>
      </c>
      <c r="D195" s="17" t="str">
        <f>IF(AND(VLOOKUP(B195,Apr!B:AZ,8,FALSE)&gt;0,VLOOKUP(B195,Apr!B:AZ,6,FALSE)=""), CONCATENATE(TEXT(VLOOKUP(B195,Apr!B:AZ,7,FALSE),"hh:mm"), "-", TEXT(VLOOKUP(B195,Apr!B:AZ,8,FALSE),"[hh]:mm")," Uhr ", IF(VLOOKUP(B195,Apr!B:AZ,12,FALSE)&gt;0, CONCATENATE("und ",TEXT(VLOOKUP(B195,Apr!B:AZ,12,FALSE),"hh:mm"), "-", TEXT(VLOOKUP(B195,Apr!B:AZ,13,FALSE),"[hh]:mm")," Uhr "),"")), IF(VLOOKUP(B195,Apr!B:AZ,6,FALSE)="","",VLOOKUP(VLOOKUP(B195,Apr!B:AZ,6,FALSE),Legende_Code,2,FALSE)))</f>
        <v/>
      </c>
      <c r="E195" s="16" t="str">
        <f>IF(AND(VLOOKUP(B195,Apr!B:AZ,6,FALSE)="", WEEKDAY(B195,2)=6,VLOOKUP(B195,Apr!B:AZ,48,FALSE)&gt;0),VLOOKUP(B195,Apr!B:AZ,48,FALSE)*24,"")</f>
        <v/>
      </c>
      <c r="F195" s="16" t="str">
        <f>IF(AND(VLOOKUP(B195,Apr!B:AZ,6,FALSE)="", WEEKDAY(B195,2)=7,VLOOKUP(B195,Apr!B:AZ,49,FALSE)&gt;0),VLOOKUP(B195,Apr!B:AZ,49,FALSE)*24,"")</f>
        <v/>
      </c>
      <c r="G195" s="16" t="str">
        <f>IF(AND(VLOOKUP(B195,Apr!B:AZ,6,FALSE)="",VLOOKUP(B195,Apr!B:AZ,46,FALSE)&gt;0),VLOOKUP(B195,Apr!B:AZ,46,FALSE)*24,"")</f>
        <v/>
      </c>
      <c r="H195" s="36" t="str">
        <f>IF(AND(VLOOKUP(B195,Apr!B:AZ,6,FALSE)="",VLOOKUP(B195,Apr!B:AZ,50,FALSE)&gt;0),VLOOKUP(B195,Apr!B:AZ,50,FALSE)*24,"")</f>
        <v/>
      </c>
      <c r="I195" s="30" t="str">
        <f>IF(AND(NETWORKDAYS(B195,B195,Feiertage)=1,VLOOKUP(B195,Apr!B:AZ,6,FALSE)="U"),"Urlaub","")</f>
        <v/>
      </c>
      <c r="J195" s="34" t="str">
        <f ca="1">IF(AND(VLOOKUP(B195,Apr!B:AZ,6,FALSE)="",VLOOKUP(B195,Apr!B:AZ,22,FALSE)&lt;0),"Absetzen von","")</f>
        <v/>
      </c>
      <c r="K195" s="263"/>
      <c r="M195" s="316" t="str">
        <f ca="1">IF(VLOOKUP(B195,Apr!B:AZ,22,FALSE)&lt;&gt;0,VLOOKUP(B195,Apr!B:AZ,22,FALSE),"")</f>
        <v/>
      </c>
      <c r="N195" s="327"/>
    </row>
    <row r="196" spans="2:14" x14ac:dyDescent="0.25">
      <c r="B196" s="245">
        <f>Apr!F34</f>
        <v>42120</v>
      </c>
      <c r="C196" s="35">
        <f t="shared" si="2"/>
        <v>42120</v>
      </c>
      <c r="D196" s="17" t="str">
        <f>IF(AND(VLOOKUP(B196,Apr!B:AZ,8,FALSE)&gt;0,VLOOKUP(B196,Apr!B:AZ,6,FALSE)=""), CONCATENATE(TEXT(VLOOKUP(B196,Apr!B:AZ,7,FALSE),"hh:mm"), "-", TEXT(VLOOKUP(B196,Apr!B:AZ,8,FALSE),"[hh]:mm")," Uhr ", IF(VLOOKUP(B196,Apr!B:AZ,12,FALSE)&gt;0, CONCATENATE("und ",TEXT(VLOOKUP(B196,Apr!B:AZ,12,FALSE),"hh:mm"), "-", TEXT(VLOOKUP(B196,Apr!B:AZ,13,FALSE),"[hh]:mm")," Uhr "),"")), IF(VLOOKUP(B196,Apr!B:AZ,6,FALSE)="","",VLOOKUP(VLOOKUP(B196,Apr!B:AZ,6,FALSE),Legende_Code,2,FALSE)))</f>
        <v/>
      </c>
      <c r="E196" s="16" t="str">
        <f>IF(AND(VLOOKUP(B196,Apr!B:AZ,6,FALSE)="", WEEKDAY(B196,2)=6,VLOOKUP(B196,Apr!B:AZ,48,FALSE)&gt;0),VLOOKUP(B196,Apr!B:AZ,48,FALSE)*24,"")</f>
        <v/>
      </c>
      <c r="F196" s="16" t="str">
        <f>IF(AND(VLOOKUP(B196,Apr!B:AZ,6,FALSE)="", WEEKDAY(B196,2)=7,VLOOKUP(B196,Apr!B:AZ,49,FALSE)&gt;0),VLOOKUP(B196,Apr!B:AZ,49,FALSE)*24,"")</f>
        <v/>
      </c>
      <c r="G196" s="16" t="str">
        <f>IF(AND(VLOOKUP(B196,Apr!B:AZ,6,FALSE)="",VLOOKUP(B196,Apr!B:AZ,46,FALSE)&gt;0),VLOOKUP(B196,Apr!B:AZ,46,FALSE)*24,"")</f>
        <v/>
      </c>
      <c r="H196" s="36" t="str">
        <f>IF(AND(VLOOKUP(B196,Apr!B:AZ,6,FALSE)="",VLOOKUP(B196,Apr!B:AZ,50,FALSE)&gt;0),VLOOKUP(B196,Apr!B:AZ,50,FALSE)*24,"")</f>
        <v/>
      </c>
      <c r="I196" s="30" t="str">
        <f>IF(AND(NETWORKDAYS(B196,B196,Feiertage)=1,VLOOKUP(B196,Apr!B:AZ,6,FALSE)="U"),"Urlaub","")</f>
        <v/>
      </c>
      <c r="J196" s="34" t="str">
        <f ca="1">IF(AND(VLOOKUP(B196,Apr!B:AZ,6,FALSE)="",VLOOKUP(B196,Apr!B:AZ,22,FALSE)&lt;0),"Absetzen von","")</f>
        <v/>
      </c>
      <c r="K196" s="263"/>
      <c r="M196" s="316" t="str">
        <f ca="1">IF(VLOOKUP(B196,Apr!B:AZ,22,FALSE)&lt;&gt;0,VLOOKUP(B196,Apr!B:AZ,22,FALSE),"")</f>
        <v/>
      </c>
      <c r="N196" s="327"/>
    </row>
    <row r="197" spans="2:14" x14ac:dyDescent="0.25">
      <c r="B197" s="245">
        <f>Apr!F35</f>
        <v>42121</v>
      </c>
      <c r="C197" s="35">
        <f t="shared" si="2"/>
        <v>42121</v>
      </c>
      <c r="D197" s="17" t="str">
        <f>IF(AND(VLOOKUP(B197,Apr!B:AZ,8,FALSE)&gt;0,VLOOKUP(B197,Apr!B:AZ,6,FALSE)=""), CONCATENATE(TEXT(VLOOKUP(B197,Apr!B:AZ,7,FALSE),"hh:mm"), "-", TEXT(VLOOKUP(B197,Apr!B:AZ,8,FALSE),"[hh]:mm")," Uhr ", IF(VLOOKUP(B197,Apr!B:AZ,12,FALSE)&gt;0, CONCATENATE("und ",TEXT(VLOOKUP(B197,Apr!B:AZ,12,FALSE),"hh:mm"), "-", TEXT(VLOOKUP(B197,Apr!B:AZ,13,FALSE),"[hh]:mm")," Uhr "),"")), IF(VLOOKUP(B197,Apr!B:AZ,6,FALSE)="","",VLOOKUP(VLOOKUP(B197,Apr!B:AZ,6,FALSE),Legende_Code,2,FALSE)))</f>
        <v/>
      </c>
      <c r="E197" s="16" t="str">
        <f>IF(AND(VLOOKUP(B197,Apr!B:AZ,6,FALSE)="", WEEKDAY(B197,2)=6,VLOOKUP(B197,Apr!B:AZ,48,FALSE)&gt;0),VLOOKUP(B197,Apr!B:AZ,48,FALSE)*24,"")</f>
        <v/>
      </c>
      <c r="F197" s="16" t="str">
        <f>IF(AND(VLOOKUP(B197,Apr!B:AZ,6,FALSE)="", WEEKDAY(B197,2)=7,VLOOKUP(B197,Apr!B:AZ,49,FALSE)&gt;0),VLOOKUP(B197,Apr!B:AZ,49,FALSE)*24,"")</f>
        <v/>
      </c>
      <c r="G197" s="16" t="str">
        <f>IF(AND(VLOOKUP(B197,Apr!B:AZ,6,FALSE)="",VLOOKUP(B197,Apr!B:AZ,46,FALSE)&gt;0),VLOOKUP(B197,Apr!B:AZ,46,FALSE)*24,"")</f>
        <v/>
      </c>
      <c r="H197" s="36" t="str">
        <f>IF(AND(VLOOKUP(B197,Apr!B:AZ,6,FALSE)="",VLOOKUP(B197,Apr!B:AZ,50,FALSE)&gt;0),VLOOKUP(B197,Apr!B:AZ,50,FALSE)*24,"")</f>
        <v/>
      </c>
      <c r="I197" s="30" t="str">
        <f>IF(AND(NETWORKDAYS(B197,B197,Feiertage)=1,VLOOKUP(B197,Apr!B:AZ,6,FALSE)="U"),"Urlaub","")</f>
        <v/>
      </c>
      <c r="J197" s="34" t="str">
        <f ca="1">IF(AND(VLOOKUP(B197,Apr!B:AZ,6,FALSE)="",VLOOKUP(B197,Apr!B:AZ,22,FALSE)&lt;0),"Absetzen von","")</f>
        <v/>
      </c>
      <c r="K197" s="263"/>
      <c r="M197" s="316" t="str">
        <f ca="1">IF(VLOOKUP(B197,Apr!B:AZ,22,FALSE)&lt;&gt;0,VLOOKUP(B197,Apr!B:AZ,22,FALSE),"")</f>
        <v/>
      </c>
      <c r="N197" s="327"/>
    </row>
    <row r="198" spans="2:14" x14ac:dyDescent="0.25">
      <c r="B198" s="245">
        <f>Apr!F36</f>
        <v>42122</v>
      </c>
      <c r="C198" s="35">
        <f t="shared" si="2"/>
        <v>42122</v>
      </c>
      <c r="D198" s="17" t="str">
        <f>IF(AND(VLOOKUP(B198,Apr!B:AZ,8,FALSE)&gt;0,VLOOKUP(B198,Apr!B:AZ,6,FALSE)=""), CONCATENATE(TEXT(VLOOKUP(B198,Apr!B:AZ,7,FALSE),"hh:mm"), "-", TEXT(VLOOKUP(B198,Apr!B:AZ,8,FALSE),"[hh]:mm")," Uhr ", IF(VLOOKUP(B198,Apr!B:AZ,12,FALSE)&gt;0, CONCATENATE("und ",TEXT(VLOOKUP(B198,Apr!B:AZ,12,FALSE),"hh:mm"), "-", TEXT(VLOOKUP(B198,Apr!B:AZ,13,FALSE),"[hh]:mm")," Uhr "),"")), IF(VLOOKUP(B198,Apr!B:AZ,6,FALSE)="","",VLOOKUP(VLOOKUP(B198,Apr!B:AZ,6,FALSE),Legende_Code,2,FALSE)))</f>
        <v/>
      </c>
      <c r="E198" s="16" t="str">
        <f>IF(AND(VLOOKUP(B198,Apr!B:AZ,6,FALSE)="", WEEKDAY(B198,2)=6,VLOOKUP(B198,Apr!B:AZ,48,FALSE)&gt;0),VLOOKUP(B198,Apr!B:AZ,48,FALSE)*24,"")</f>
        <v/>
      </c>
      <c r="F198" s="16" t="str">
        <f>IF(AND(VLOOKUP(B198,Apr!B:AZ,6,FALSE)="", WEEKDAY(B198,2)=7,VLOOKUP(B198,Apr!B:AZ,49,FALSE)&gt;0),VLOOKUP(B198,Apr!B:AZ,49,FALSE)*24,"")</f>
        <v/>
      </c>
      <c r="G198" s="16" t="str">
        <f>IF(AND(VLOOKUP(B198,Apr!B:AZ,6,FALSE)="",VLOOKUP(B198,Apr!B:AZ,46,FALSE)&gt;0),VLOOKUP(B198,Apr!B:AZ,46,FALSE)*24,"")</f>
        <v/>
      </c>
      <c r="H198" s="36" t="str">
        <f>IF(AND(VLOOKUP(B198,Apr!B:AZ,6,FALSE)="",VLOOKUP(B198,Apr!B:AZ,50,FALSE)&gt;0),VLOOKUP(B198,Apr!B:AZ,50,FALSE)*24,"")</f>
        <v/>
      </c>
      <c r="I198" s="30" t="str">
        <f>IF(AND(NETWORKDAYS(B198,B198,Feiertage)=1,VLOOKUP(B198,Apr!B:AZ,6,FALSE)="U"),"Urlaub","")</f>
        <v/>
      </c>
      <c r="J198" s="34" t="str">
        <f ca="1">IF(AND(VLOOKUP(B198,Apr!B:AZ,6,FALSE)="",VLOOKUP(B198,Apr!B:AZ,22,FALSE)&lt;0),"Absetzen von","")</f>
        <v/>
      </c>
      <c r="K198" s="263"/>
      <c r="M198" s="316" t="str">
        <f ca="1">IF(VLOOKUP(B198,Apr!B:AZ,22,FALSE)&lt;&gt;0,VLOOKUP(B198,Apr!B:AZ,22,FALSE),"")</f>
        <v/>
      </c>
      <c r="N198" s="327"/>
    </row>
    <row r="199" spans="2:14" x14ac:dyDescent="0.25">
      <c r="B199" s="245">
        <f>Apr!F37</f>
        <v>42123</v>
      </c>
      <c r="C199" s="35">
        <f t="shared" si="2"/>
        <v>42123</v>
      </c>
      <c r="D199" s="17" t="str">
        <f>IF(AND(VLOOKUP(B199,Apr!B:AZ,8,FALSE)&gt;0,VLOOKUP(B199,Apr!B:AZ,6,FALSE)=""), CONCATENATE(TEXT(VLOOKUP(B199,Apr!B:AZ,7,FALSE),"hh:mm"), "-", TEXT(VLOOKUP(B199,Apr!B:AZ,8,FALSE),"[hh]:mm")," Uhr ", IF(VLOOKUP(B199,Apr!B:AZ,12,FALSE)&gt;0, CONCATENATE("und ",TEXT(VLOOKUP(B199,Apr!B:AZ,12,FALSE),"hh:mm"), "-", TEXT(VLOOKUP(B199,Apr!B:AZ,13,FALSE),"[hh]:mm")," Uhr "),"")), IF(VLOOKUP(B199,Apr!B:AZ,6,FALSE)="","",VLOOKUP(VLOOKUP(B199,Apr!B:AZ,6,FALSE),Legende_Code,2,FALSE)))</f>
        <v/>
      </c>
      <c r="E199" s="16" t="str">
        <f>IF(AND(VLOOKUP(B199,Apr!B:AZ,6,FALSE)="", WEEKDAY(B199,2)=6,VLOOKUP(B199,Apr!B:AZ,48,FALSE)&gt;0),VLOOKUP(B199,Apr!B:AZ,48,FALSE)*24,"")</f>
        <v/>
      </c>
      <c r="F199" s="16" t="str">
        <f>IF(AND(VLOOKUP(B199,Apr!B:AZ,6,FALSE)="", WEEKDAY(B199,2)=7,VLOOKUP(B199,Apr!B:AZ,49,FALSE)&gt;0),VLOOKUP(B199,Apr!B:AZ,49,FALSE)*24,"")</f>
        <v/>
      </c>
      <c r="G199" s="16" t="str">
        <f>IF(AND(VLOOKUP(B199,Apr!B:AZ,6,FALSE)="",VLOOKUP(B199,Apr!B:AZ,46,FALSE)&gt;0),VLOOKUP(B199,Apr!B:AZ,46,FALSE)*24,"")</f>
        <v/>
      </c>
      <c r="H199" s="36" t="str">
        <f>IF(AND(VLOOKUP(B199,Apr!B:AZ,6,FALSE)="",VLOOKUP(B199,Apr!B:AZ,50,FALSE)&gt;0),VLOOKUP(B199,Apr!B:AZ,50,FALSE)*24,"")</f>
        <v/>
      </c>
      <c r="I199" s="30" t="str">
        <f>IF(AND(NETWORKDAYS(B199,B199,Feiertage)=1,VLOOKUP(B199,Apr!B:AZ,6,FALSE)="U"),"Urlaub","")</f>
        <v/>
      </c>
      <c r="J199" s="34" t="str">
        <f ca="1">IF(AND(VLOOKUP(B199,Apr!B:AZ,6,FALSE)="",VLOOKUP(B199,Apr!B:AZ,22,FALSE)&lt;0),"Absetzen von","")</f>
        <v/>
      </c>
      <c r="K199" s="263"/>
      <c r="M199" s="316" t="str">
        <f ca="1">IF(VLOOKUP(B199,Apr!B:AZ,22,FALSE)&lt;&gt;0,VLOOKUP(B199,Apr!B:AZ,22,FALSE),"")</f>
        <v/>
      </c>
      <c r="N199" s="327"/>
    </row>
    <row r="200" spans="2:14" ht="15.75" thickBot="1" x14ac:dyDescent="0.3">
      <c r="B200" s="245"/>
      <c r="C200" s="35"/>
      <c r="D200" s="17"/>
      <c r="E200" s="16"/>
      <c r="F200" s="16"/>
      <c r="G200" s="16"/>
      <c r="H200" s="36"/>
      <c r="I200" s="30"/>
      <c r="J200" s="34"/>
      <c r="K200" s="263"/>
      <c r="N200" s="327"/>
    </row>
    <row r="201" spans="2:14" ht="15.75" thickBot="1" x14ac:dyDescent="0.3">
      <c r="B201" s="186"/>
      <c r="C201" s="37"/>
      <c r="D201" s="38" t="s">
        <v>198</v>
      </c>
      <c r="E201" s="39" t="str">
        <f>IF(SUM(E170:E200)=0," ",SUM(E170:E200))</f>
        <v xml:space="preserve"> </v>
      </c>
      <c r="F201" s="39" t="str">
        <f>IF(SUM(F170:F200)=0," ",SUM(F170:F200))</f>
        <v xml:space="preserve"> </v>
      </c>
      <c r="G201" s="39" t="str">
        <f>IF(SUM(G170:G200)=0," ",SUM(G170:G200))</f>
        <v xml:space="preserve"> </v>
      </c>
      <c r="H201" s="40" t="str">
        <f>IF(SUM(H170:H200)=0," ",SUM(H170:H200))</f>
        <v xml:space="preserve"> </v>
      </c>
      <c r="I201" s="30"/>
      <c r="J201" s="185"/>
      <c r="K201" s="266"/>
      <c r="N201" s="327"/>
    </row>
    <row r="202" spans="2:14" x14ac:dyDescent="0.25">
      <c r="B202" s="44" t="s">
        <v>199</v>
      </c>
      <c r="C202" s="20"/>
      <c r="D202" s="41"/>
      <c r="E202" s="20"/>
      <c r="F202" s="20"/>
      <c r="G202" s="20" t="s">
        <v>200</v>
      </c>
      <c r="H202" s="20"/>
      <c r="I202" s="20"/>
      <c r="J202" s="20"/>
      <c r="K202" s="267"/>
      <c r="N202" s="327"/>
    </row>
    <row r="203" spans="2:14" x14ac:dyDescent="0.25">
      <c r="B203" s="44"/>
      <c r="C203" s="20"/>
      <c r="D203" s="41"/>
      <c r="E203" s="20"/>
      <c r="F203" s="20"/>
      <c r="G203" s="20"/>
      <c r="H203" s="20"/>
      <c r="I203" s="20"/>
      <c r="J203" s="20"/>
      <c r="K203" s="267"/>
      <c r="N203" s="327"/>
    </row>
    <row r="204" spans="2:14" x14ac:dyDescent="0.25">
      <c r="B204" s="44"/>
      <c r="C204" s="20"/>
      <c r="D204" s="41"/>
      <c r="E204" s="20"/>
      <c r="F204" s="20"/>
      <c r="G204" s="20"/>
      <c r="H204" s="20"/>
      <c r="I204" s="20"/>
      <c r="J204" s="20"/>
      <c r="K204" s="267"/>
      <c r="N204" s="327"/>
    </row>
    <row r="205" spans="2:14" x14ac:dyDescent="0.25">
      <c r="B205" s="44" t="s">
        <v>201</v>
      </c>
      <c r="C205" s="20"/>
      <c r="D205" s="41"/>
      <c r="E205" s="20"/>
      <c r="F205" s="20"/>
      <c r="G205" s="20" t="s">
        <v>202</v>
      </c>
      <c r="H205" s="20"/>
      <c r="I205" s="20"/>
      <c r="J205" s="20"/>
      <c r="K205" s="267"/>
      <c r="N205" s="327"/>
    </row>
    <row r="206" spans="2:14" x14ac:dyDescent="0.25">
      <c r="B206" s="253"/>
      <c r="C206" s="42"/>
      <c r="D206" s="18"/>
      <c r="E206" s="19"/>
      <c r="F206" s="19"/>
      <c r="G206" s="19"/>
      <c r="H206" s="43"/>
      <c r="I206" s="20"/>
      <c r="J206" s="44"/>
      <c r="K206" s="268"/>
      <c r="N206" s="327"/>
    </row>
    <row r="207" spans="2:14" x14ac:dyDescent="0.25">
      <c r="B207" s="253"/>
      <c r="C207" s="42"/>
      <c r="D207" s="18"/>
      <c r="E207" s="19"/>
      <c r="F207" s="19"/>
      <c r="G207" s="19"/>
      <c r="H207" s="43"/>
      <c r="I207" s="20"/>
      <c r="J207" s="44"/>
      <c r="K207" s="268"/>
      <c r="N207" s="327"/>
    </row>
    <row r="208" spans="2:14" x14ac:dyDescent="0.25">
      <c r="B208" s="253"/>
      <c r="C208" s="42"/>
      <c r="D208" s="18"/>
      <c r="E208" s="19"/>
      <c r="F208" s="19"/>
      <c r="G208" s="19"/>
      <c r="H208" s="43"/>
      <c r="I208" s="20"/>
      <c r="J208" s="44"/>
      <c r="K208" s="268"/>
      <c r="N208" s="327"/>
    </row>
    <row r="209" spans="1:14" x14ac:dyDescent="0.25">
      <c r="B209" s="253"/>
      <c r="C209" s="42"/>
      <c r="D209" s="18"/>
      <c r="E209" s="19"/>
      <c r="F209" s="19"/>
      <c r="G209" s="19"/>
      <c r="H209" s="43"/>
      <c r="I209" s="20"/>
      <c r="J209" s="44"/>
      <c r="K209" s="268"/>
      <c r="N209" s="327"/>
    </row>
    <row r="210" spans="1:14" s="45" customFormat="1" ht="18" x14ac:dyDescent="0.25">
      <c r="B210" s="252"/>
      <c r="C210" s="539" t="s">
        <v>186</v>
      </c>
      <c r="D210" s="539"/>
      <c r="E210" s="539"/>
      <c r="F210" s="539"/>
      <c r="G210" s="21"/>
      <c r="H210" s="21"/>
      <c r="I210" s="21"/>
      <c r="J210" s="21"/>
      <c r="K210" s="259"/>
      <c r="M210" s="317"/>
      <c r="N210" s="328"/>
    </row>
    <row r="211" spans="1:14" s="45" customFormat="1" ht="16.5" x14ac:dyDescent="0.25">
      <c r="B211" s="252" t="s">
        <v>82</v>
      </c>
      <c r="C211" s="21"/>
      <c r="D211" s="22"/>
      <c r="E211" s="21"/>
      <c r="F211" s="21"/>
      <c r="G211" s="21"/>
      <c r="H211" s="21"/>
      <c r="I211" s="23" t="str">
        <f>Struktureinheit</f>
        <v>Struktureinheit</v>
      </c>
      <c r="J211" s="24"/>
      <c r="K211" s="260"/>
      <c r="M211" s="317" t="s">
        <v>187</v>
      </c>
      <c r="N211" s="256"/>
    </row>
    <row r="212" spans="1:14" ht="16.5" x14ac:dyDescent="0.25">
      <c r="A212" s="29"/>
      <c r="B212" s="545" t="s">
        <v>1</v>
      </c>
      <c r="C212" s="545"/>
      <c r="D212" s="20" t="str">
        <f>Name</f>
        <v>Max Mustermann</v>
      </c>
      <c r="E212" s="25"/>
      <c r="F212" s="25"/>
      <c r="G212" s="25"/>
      <c r="H212" s="26"/>
      <c r="I212" s="27"/>
      <c r="J212" s="27"/>
      <c r="K212" s="260"/>
      <c r="M212" s="317" t="s">
        <v>188</v>
      </c>
      <c r="N212" s="257"/>
    </row>
    <row r="213" spans="1:14" ht="9.75" customHeight="1" x14ac:dyDescent="0.25">
      <c r="A213" s="29"/>
      <c r="C213" s="26"/>
      <c r="D213" s="28"/>
      <c r="E213" s="26"/>
      <c r="F213" s="26"/>
      <c r="G213" s="26"/>
      <c r="H213" s="26"/>
      <c r="I213" s="26"/>
      <c r="J213" s="26"/>
      <c r="K213" s="259"/>
      <c r="N213" s="327"/>
    </row>
    <row r="214" spans="1:14" x14ac:dyDescent="0.25">
      <c r="A214" s="29"/>
      <c r="B214" s="545" t="s">
        <v>189</v>
      </c>
      <c r="C214" s="545"/>
      <c r="D214" s="26">
        <f>Personalnummer</f>
        <v>123456789</v>
      </c>
      <c r="G214" s="26"/>
      <c r="H214" s="184" t="s">
        <v>190</v>
      </c>
      <c r="I214" s="540">
        <f>Geburtstag</f>
        <v>16833</v>
      </c>
      <c r="J214" s="540"/>
      <c r="K214" s="261"/>
      <c r="N214" s="327"/>
    </row>
    <row r="215" spans="1:14" x14ac:dyDescent="0.25">
      <c r="A215" s="29"/>
      <c r="C215" s="26"/>
      <c r="D215" s="28"/>
      <c r="E215" s="26"/>
      <c r="F215" s="26"/>
      <c r="G215" s="26"/>
      <c r="H215" s="26"/>
      <c r="I215" s="26"/>
      <c r="J215" s="26"/>
      <c r="K215" s="259"/>
      <c r="N215" s="327"/>
    </row>
    <row r="216" spans="1:14" x14ac:dyDescent="0.25">
      <c r="A216" s="29"/>
      <c r="B216" s="541" t="s">
        <v>191</v>
      </c>
      <c r="C216" s="541"/>
      <c r="D216" s="542">
        <f>B222</f>
        <v>42124</v>
      </c>
      <c r="E216" s="542"/>
      <c r="F216" s="542"/>
      <c r="G216" s="542"/>
      <c r="H216" s="542"/>
      <c r="I216" s="186"/>
      <c r="J216" s="543"/>
      <c r="K216" s="544"/>
      <c r="N216" s="327"/>
    </row>
    <row r="217" spans="1:14" ht="15" customHeight="1" x14ac:dyDescent="0.25">
      <c r="B217" s="557"/>
      <c r="C217" s="557"/>
      <c r="D217" s="558" t="s">
        <v>192</v>
      </c>
      <c r="E217" s="546" t="s">
        <v>38</v>
      </c>
      <c r="F217" s="546" t="s">
        <v>39</v>
      </c>
      <c r="G217" s="546" t="s">
        <v>105</v>
      </c>
      <c r="H217" s="548" t="s">
        <v>81</v>
      </c>
      <c r="I217" s="30" t="s">
        <v>193</v>
      </c>
      <c r="J217" s="550" t="s">
        <v>63</v>
      </c>
      <c r="K217" s="551"/>
      <c r="N217" s="327"/>
    </row>
    <row r="218" spans="1:14" x14ac:dyDescent="0.25">
      <c r="B218" s="557"/>
      <c r="C218" s="557"/>
      <c r="D218" s="558"/>
      <c r="E218" s="547"/>
      <c r="F218" s="547"/>
      <c r="G218" s="547"/>
      <c r="H218" s="549"/>
      <c r="I218" s="552"/>
      <c r="J218" s="550"/>
      <c r="K218" s="551"/>
      <c r="N218" s="327"/>
    </row>
    <row r="219" spans="1:14" x14ac:dyDescent="0.25">
      <c r="B219" s="557"/>
      <c r="C219" s="186"/>
      <c r="D219" s="31" t="s">
        <v>194</v>
      </c>
      <c r="E219" s="186" t="s">
        <v>195</v>
      </c>
      <c r="F219" s="186"/>
      <c r="G219" s="186" t="s">
        <v>196</v>
      </c>
      <c r="H219" s="32"/>
      <c r="I219" s="544"/>
      <c r="J219" s="543"/>
      <c r="K219" s="554"/>
      <c r="N219" s="327"/>
    </row>
    <row r="220" spans="1:14" x14ac:dyDescent="0.25">
      <c r="B220" s="186" t="s">
        <v>80</v>
      </c>
      <c r="C220" s="186" t="s">
        <v>128</v>
      </c>
      <c r="D220" s="31"/>
      <c r="E220" s="186" t="s">
        <v>197</v>
      </c>
      <c r="F220" s="186" t="s">
        <v>197</v>
      </c>
      <c r="G220" s="186" t="s">
        <v>197</v>
      </c>
      <c r="H220" s="32" t="s">
        <v>197</v>
      </c>
      <c r="I220" s="553"/>
      <c r="J220" s="555"/>
      <c r="K220" s="556"/>
      <c r="N220" s="327"/>
    </row>
    <row r="221" spans="1:14" x14ac:dyDescent="0.25">
      <c r="B221" s="186"/>
      <c r="C221" s="186"/>
      <c r="D221" s="33"/>
      <c r="E221" s="16"/>
      <c r="F221" s="186"/>
      <c r="G221" s="186"/>
      <c r="H221" s="32"/>
      <c r="I221" s="30"/>
      <c r="J221" s="34"/>
      <c r="K221" s="269"/>
      <c r="N221" s="327"/>
    </row>
    <row r="222" spans="1:14" x14ac:dyDescent="0.25">
      <c r="B222" s="245">
        <f>Mai!F8</f>
        <v>42124</v>
      </c>
      <c r="C222" s="35">
        <f t="shared" si="2"/>
        <v>42124</v>
      </c>
      <c r="D222" s="17" t="str">
        <f>IF(AND(VLOOKUP(B222,Mai!B:AZ,8,FALSE)&gt;0,VLOOKUP(B222,Mai!B:AZ,6,FALSE)=""), CONCATENATE(TEXT(VLOOKUP(B222,Mai!B:AZ,7,FALSE),"hh:mm"), "-", TEXT(VLOOKUP(B222,Mai!B:AZ,8,FALSE),"[hh]:mm")," Uhr ", IF(VLOOKUP(B222,Mai!B:AZ,12,FALSE)&gt;0, CONCATENATE("und ",TEXT(VLOOKUP(B222,Mai!B:AZ,12,FALSE),"hh:mm"), "-", TEXT(VLOOKUP(B222,Mai!B:AZ,13,FALSE),"[hh]:mm")," Uhr "),"")), IF(VLOOKUP(B222,Mai!B:AZ,6,FALSE)="","",VLOOKUP(VLOOKUP(B222,Mai!B:AZ,6,FALSE),Legende_Code,2,FALSE)))</f>
        <v/>
      </c>
      <c r="E222" s="16" t="str">
        <f>IF(AND(VLOOKUP(B222,Mai!B:AZ,6,FALSE)="", WEEKDAY(B222,2)=6,VLOOKUP(B222,Mai!B:AZ,48,FALSE)&gt;0),VLOOKUP(B222,Mai!B:AZ,48,FALSE)*24,"")</f>
        <v/>
      </c>
      <c r="F222" s="16" t="str">
        <f>IF(AND(VLOOKUP(B222,Mai!B:AZ,6,FALSE)="", WEEKDAY(B222,2)=7,VLOOKUP(B222,Mai!B:AZ,49,FALSE)&gt;0),VLOOKUP(B222,Mai!B:AZ,49,FALSE)*24,"")</f>
        <v/>
      </c>
      <c r="G222" s="16" t="str">
        <f>IF(AND(VLOOKUP(B222,Mai!B:AZ,6,FALSE)="",VLOOKUP(B222,Mai!B:AZ,46,FALSE)&gt;0),VLOOKUP(B222,Mai!B:AZ,46,FALSE)*24,"")</f>
        <v/>
      </c>
      <c r="H222" s="36" t="str">
        <f>IF(AND(VLOOKUP(B222,Mai!B:AZ,6,FALSE)="",VLOOKUP(B222,Mai!B:AZ,50,FALSE)&gt;0),VLOOKUP(B222,Mai!B:AZ,50,FALSE)*24,"")</f>
        <v/>
      </c>
      <c r="I222" s="30" t="str">
        <f>IF(AND(NETWORKDAYS(B222,B222,Feiertage)=1,VLOOKUP(B222,Mai!B:AZ,6,FALSE)="U"),"Urlaub","")</f>
        <v/>
      </c>
      <c r="J222" s="34" t="str">
        <f>IF(AND(VLOOKUP(B222,Mai!B:AZ,6,FALSE)="",VLOOKUP(B222,Mai!B:AZ,22,FALSE)&lt;0),"Absetzen von","")</f>
        <v/>
      </c>
      <c r="K222" s="263"/>
      <c r="M222" s="316" t="str">
        <f>IF(VLOOKUP(B222,Mai!B:AZ,22,FALSE)&lt;&gt;0,VLOOKUP(B222,Mai!B:AZ,22,FALSE),"")</f>
        <v/>
      </c>
      <c r="N222" s="327"/>
    </row>
    <row r="223" spans="1:14" x14ac:dyDescent="0.25">
      <c r="B223" s="245">
        <f>Mai!F9</f>
        <v>42125</v>
      </c>
      <c r="C223" s="35">
        <f t="shared" si="2"/>
        <v>42125</v>
      </c>
      <c r="D223" s="17" t="str">
        <f>IF(AND(VLOOKUP(B223,Mai!B:AZ,8,FALSE)&gt;0,VLOOKUP(B223,Mai!B:AZ,6,FALSE)=""), CONCATENATE(TEXT(VLOOKUP(B223,Mai!B:AZ,7,FALSE),"hh:mm"), "-", TEXT(VLOOKUP(B223,Mai!B:AZ,8,FALSE),"[hh]:mm")," Uhr ", IF(VLOOKUP(B223,Mai!B:AZ,12,FALSE)&gt;0, CONCATENATE("und ",TEXT(VLOOKUP(B223,Mai!B:AZ,12,FALSE),"hh:mm"), "-", TEXT(VLOOKUP(B223,Mai!B:AZ,13,FALSE),"[hh]:mm")," Uhr "),"")), IF(VLOOKUP(B223,Mai!B:AZ,6,FALSE)="","",VLOOKUP(VLOOKUP(B223,Mai!B:AZ,6,FALSE),Legende_Code,2,FALSE)))</f>
        <v/>
      </c>
      <c r="E223" s="16" t="str">
        <f>IF(AND(VLOOKUP(B223,Mai!B:AZ,6,FALSE)="", WEEKDAY(B223,2)=6,VLOOKUP(B223,Mai!B:AZ,48,FALSE)&gt;0),VLOOKUP(B223,Mai!B:AZ,48,FALSE)*24,"")</f>
        <v/>
      </c>
      <c r="F223" s="16" t="str">
        <f>IF(AND(VLOOKUP(B223,Mai!B:AZ,6,FALSE)="", WEEKDAY(B223,2)=7,VLOOKUP(B223,Mai!B:AZ,49,FALSE)&gt;0),VLOOKUP(B223,Mai!B:AZ,49,FALSE)*24,"")</f>
        <v/>
      </c>
      <c r="G223" s="16" t="str">
        <f>IF(AND(VLOOKUP(B223,Mai!B:AZ,6,FALSE)="",VLOOKUP(B223,Mai!B:AZ,46,FALSE)&gt;0),VLOOKUP(B223,Mai!B:AZ,46,FALSE)*24,"")</f>
        <v/>
      </c>
      <c r="H223" s="36" t="str">
        <f>IF(AND(VLOOKUP(B223,Mai!B:AZ,6,FALSE)="",VLOOKUP(B223,Mai!B:AZ,50,FALSE)&gt;0),VLOOKUP(B223,Mai!B:AZ,50,FALSE)*24,"")</f>
        <v/>
      </c>
      <c r="I223" s="30" t="str">
        <f>IF(AND(NETWORKDAYS(B223,B223,Feiertage)=1,VLOOKUP(B223,Mai!B:AZ,6,FALSE)="U"),"Urlaub","")</f>
        <v/>
      </c>
      <c r="J223" s="34" t="str">
        <f ca="1">IF(AND(VLOOKUP(B223,Mai!B:AZ,6,FALSE)="",VLOOKUP(B223,Mai!B:AZ,22,FALSE)&lt;0),"Absetzen von","")</f>
        <v/>
      </c>
      <c r="K223" s="263"/>
      <c r="M223" s="316" t="str">
        <f ca="1">IF(VLOOKUP(B223,Mai!B:AZ,22,FALSE)&lt;&gt;0,VLOOKUP(B223,Mai!B:AZ,22,FALSE),"")</f>
        <v/>
      </c>
      <c r="N223" s="327"/>
    </row>
    <row r="224" spans="1:14" x14ac:dyDescent="0.25">
      <c r="B224" s="245">
        <f>Mai!F10</f>
        <v>42126</v>
      </c>
      <c r="C224" s="35">
        <f t="shared" si="2"/>
        <v>42126</v>
      </c>
      <c r="D224" s="17" t="str">
        <f>IF(AND(VLOOKUP(B224,Mai!B:AZ,8,FALSE)&gt;0,VLOOKUP(B224,Mai!B:AZ,6,FALSE)=""), CONCATENATE(TEXT(VLOOKUP(B224,Mai!B:AZ,7,FALSE),"hh:mm"), "-", TEXT(VLOOKUP(B224,Mai!B:AZ,8,FALSE),"[hh]:mm")," Uhr ", IF(VLOOKUP(B224,Mai!B:AZ,12,FALSE)&gt;0, CONCATENATE("und ",TEXT(VLOOKUP(B224,Mai!B:AZ,12,FALSE),"hh:mm"), "-", TEXT(VLOOKUP(B224,Mai!B:AZ,13,FALSE),"[hh]:mm")," Uhr "),"")), IF(VLOOKUP(B224,Mai!B:AZ,6,FALSE)="","",VLOOKUP(VLOOKUP(B224,Mai!B:AZ,6,FALSE),Legende_Code,2,FALSE)))</f>
        <v/>
      </c>
      <c r="E224" s="16" t="str">
        <f>IF(AND(VLOOKUP(B224,Mai!B:AZ,6,FALSE)="", WEEKDAY(B224,2)=6,VLOOKUP(B224,Mai!B:AZ,48,FALSE)&gt;0),VLOOKUP(B224,Mai!B:AZ,48,FALSE)*24,"")</f>
        <v/>
      </c>
      <c r="F224" s="16" t="str">
        <f>IF(AND(VLOOKUP(B224,Mai!B:AZ,6,FALSE)="", WEEKDAY(B224,2)=7,VLOOKUP(B224,Mai!B:AZ,49,FALSE)&gt;0),VLOOKUP(B224,Mai!B:AZ,49,FALSE)*24,"")</f>
        <v/>
      </c>
      <c r="G224" s="16" t="str">
        <f>IF(AND(VLOOKUP(B224,Mai!B:AZ,6,FALSE)="",VLOOKUP(B224,Mai!B:AZ,46,FALSE)&gt;0),VLOOKUP(B224,Mai!B:AZ,46,FALSE)*24,"")</f>
        <v/>
      </c>
      <c r="H224" s="36" t="str">
        <f>IF(AND(VLOOKUP(B224,Mai!B:AZ,6,FALSE)="",VLOOKUP(B224,Mai!B:AZ,50,FALSE)&gt;0),VLOOKUP(B224,Mai!B:AZ,50,FALSE)*24,"")</f>
        <v/>
      </c>
      <c r="I224" s="30" t="str">
        <f>IF(AND(NETWORKDAYS(B224,B224,Feiertage)=1,VLOOKUP(B224,Mai!B:AZ,6,FALSE)="U"),"Urlaub","")</f>
        <v/>
      </c>
      <c r="J224" s="34" t="str">
        <f ca="1">IF(AND(VLOOKUP(B224,Mai!B:AZ,6,FALSE)="",VLOOKUP(B224,Mai!B:AZ,22,FALSE)&lt;0),"Absetzen von","")</f>
        <v/>
      </c>
      <c r="K224" s="263"/>
      <c r="M224" s="316" t="str">
        <f ca="1">IF(VLOOKUP(B224,Mai!B:AZ,22,FALSE)&lt;&gt;0,VLOOKUP(B224,Mai!B:AZ,22,FALSE),"")</f>
        <v/>
      </c>
      <c r="N224" s="327"/>
    </row>
    <row r="225" spans="2:14" x14ac:dyDescent="0.25">
      <c r="B225" s="245">
        <f>Mai!F11</f>
        <v>42127</v>
      </c>
      <c r="C225" s="35">
        <f t="shared" si="2"/>
        <v>42127</v>
      </c>
      <c r="D225" s="17" t="str">
        <f>IF(AND(VLOOKUP(B225,Mai!B:AZ,8,FALSE)&gt;0,VLOOKUP(B225,Mai!B:AZ,6,FALSE)=""), CONCATENATE(TEXT(VLOOKUP(B225,Mai!B:AZ,7,FALSE),"hh:mm"), "-", TEXT(VLOOKUP(B225,Mai!B:AZ,8,FALSE),"[hh]:mm")," Uhr ", IF(VLOOKUP(B225,Mai!B:AZ,12,FALSE)&gt;0, CONCATENATE("und ",TEXT(VLOOKUP(B225,Mai!B:AZ,12,FALSE),"hh:mm"), "-", TEXT(VLOOKUP(B225,Mai!B:AZ,13,FALSE),"[hh]:mm")," Uhr "),"")), IF(VLOOKUP(B225,Mai!B:AZ,6,FALSE)="","",VLOOKUP(VLOOKUP(B225,Mai!B:AZ,6,FALSE),Legende_Code,2,FALSE)))</f>
        <v/>
      </c>
      <c r="E225" s="16" t="str">
        <f>IF(AND(VLOOKUP(B225,Mai!B:AZ,6,FALSE)="", WEEKDAY(B225,2)=6,VLOOKUP(B225,Mai!B:AZ,48,FALSE)&gt;0),VLOOKUP(B225,Mai!B:AZ,48,FALSE)*24,"")</f>
        <v/>
      </c>
      <c r="F225" s="16" t="str">
        <f>IF(AND(VLOOKUP(B225,Mai!B:AZ,6,FALSE)="", WEEKDAY(B225,2)=7,VLOOKUP(B225,Mai!B:AZ,49,FALSE)&gt;0),VLOOKUP(B225,Mai!B:AZ,49,FALSE)*24,"")</f>
        <v/>
      </c>
      <c r="G225" s="16" t="str">
        <f>IF(AND(VLOOKUP(B225,Mai!B:AZ,6,FALSE)="",VLOOKUP(B225,Mai!B:AZ,46,FALSE)&gt;0),VLOOKUP(B225,Mai!B:AZ,46,FALSE)*24,"")</f>
        <v/>
      </c>
      <c r="H225" s="36" t="str">
        <f>IF(AND(VLOOKUP(B225,Mai!B:AZ,6,FALSE)="",VLOOKUP(B225,Mai!B:AZ,50,FALSE)&gt;0),VLOOKUP(B225,Mai!B:AZ,50,FALSE)*24,"")</f>
        <v/>
      </c>
      <c r="I225" s="30" t="str">
        <f>IF(AND(NETWORKDAYS(B225,B225,Feiertage)=1,VLOOKUP(B225,Mai!B:AZ,6,FALSE)="U"),"Urlaub","")</f>
        <v/>
      </c>
      <c r="J225" s="34" t="str">
        <f ca="1">IF(AND(VLOOKUP(B225,Mai!B:AZ,6,FALSE)="",VLOOKUP(B225,Mai!B:AZ,22,FALSE)&lt;0),"Absetzen von","")</f>
        <v/>
      </c>
      <c r="K225" s="263"/>
      <c r="M225" s="316" t="str">
        <f ca="1">IF(VLOOKUP(B225,Mai!B:AZ,22,FALSE)&lt;&gt;0,VLOOKUP(B225,Mai!B:AZ,22,FALSE),"")</f>
        <v/>
      </c>
      <c r="N225" s="327"/>
    </row>
    <row r="226" spans="2:14" x14ac:dyDescent="0.25">
      <c r="B226" s="245">
        <f>Mai!F12</f>
        <v>42128</v>
      </c>
      <c r="C226" s="35">
        <f t="shared" si="2"/>
        <v>42128</v>
      </c>
      <c r="D226" s="17" t="str">
        <f>IF(AND(VLOOKUP(B226,Mai!B:AZ,8,FALSE)&gt;0,VLOOKUP(B226,Mai!B:AZ,6,FALSE)=""), CONCATENATE(TEXT(VLOOKUP(B226,Mai!B:AZ,7,FALSE),"hh:mm"), "-", TEXT(VLOOKUP(B226,Mai!B:AZ,8,FALSE),"[hh]:mm")," Uhr ", IF(VLOOKUP(B226,Mai!B:AZ,12,FALSE)&gt;0, CONCATENATE("und ",TEXT(VLOOKUP(B226,Mai!B:AZ,12,FALSE),"hh:mm"), "-", TEXT(VLOOKUP(B226,Mai!B:AZ,13,FALSE),"[hh]:mm")," Uhr "),"")), IF(VLOOKUP(B226,Mai!B:AZ,6,FALSE)="","",VLOOKUP(VLOOKUP(B226,Mai!B:AZ,6,FALSE),Legende_Code,2,FALSE)))</f>
        <v/>
      </c>
      <c r="E226" s="16" t="str">
        <f>IF(AND(VLOOKUP(B226,Mai!B:AZ,6,FALSE)="", WEEKDAY(B226,2)=6,VLOOKUP(B226,Mai!B:AZ,48,FALSE)&gt;0),VLOOKUP(B226,Mai!B:AZ,48,FALSE)*24,"")</f>
        <v/>
      </c>
      <c r="F226" s="16" t="str">
        <f>IF(AND(VLOOKUP(B226,Mai!B:AZ,6,FALSE)="", WEEKDAY(B226,2)=7,VLOOKUP(B226,Mai!B:AZ,49,FALSE)&gt;0),VLOOKUP(B226,Mai!B:AZ,49,FALSE)*24,"")</f>
        <v/>
      </c>
      <c r="G226" s="16" t="str">
        <f>IF(AND(VLOOKUP(B226,Mai!B:AZ,6,FALSE)="",VLOOKUP(B226,Mai!B:AZ,46,FALSE)&gt;0),VLOOKUP(B226,Mai!B:AZ,46,FALSE)*24,"")</f>
        <v/>
      </c>
      <c r="H226" s="36" t="str">
        <f>IF(AND(VLOOKUP(B226,Mai!B:AZ,6,FALSE)="",VLOOKUP(B226,Mai!B:AZ,50,FALSE)&gt;0),VLOOKUP(B226,Mai!B:AZ,50,FALSE)*24,"")</f>
        <v/>
      </c>
      <c r="I226" s="30" t="str">
        <f>IF(AND(NETWORKDAYS(B226,B226,Feiertage)=1,VLOOKUP(B226,Mai!B:AZ,6,FALSE)="U"),"Urlaub","")</f>
        <v/>
      </c>
      <c r="J226" s="34" t="str">
        <f ca="1">IF(AND(VLOOKUP(B226,Mai!B:AZ,6,FALSE)="",VLOOKUP(B226,Mai!B:AZ,22,FALSE)&lt;0),"Absetzen von","")</f>
        <v/>
      </c>
      <c r="K226" s="263"/>
      <c r="M226" s="316" t="str">
        <f ca="1">IF(VLOOKUP(B226,Mai!B:AZ,22,FALSE)&lt;&gt;0,VLOOKUP(B226,Mai!B:AZ,22,FALSE),"")</f>
        <v/>
      </c>
      <c r="N226" s="327"/>
    </row>
    <row r="227" spans="2:14" x14ac:dyDescent="0.25">
      <c r="B227" s="245">
        <f>Mai!F13</f>
        <v>42129</v>
      </c>
      <c r="C227" s="35">
        <f t="shared" si="2"/>
        <v>42129</v>
      </c>
      <c r="D227" s="17" t="str">
        <f>IF(AND(VLOOKUP(B227,Mai!B:AZ,8,FALSE)&gt;0,VLOOKUP(B227,Mai!B:AZ,6,FALSE)=""), CONCATENATE(TEXT(VLOOKUP(B227,Mai!B:AZ,7,FALSE),"hh:mm"), "-", TEXT(VLOOKUP(B227,Mai!B:AZ,8,FALSE),"[hh]:mm")," Uhr ", IF(VLOOKUP(B227,Mai!B:AZ,12,FALSE)&gt;0, CONCATENATE("und ",TEXT(VLOOKUP(B227,Mai!B:AZ,12,FALSE),"hh:mm"), "-", TEXT(VLOOKUP(B227,Mai!B:AZ,13,FALSE),"[hh]:mm")," Uhr "),"")), IF(VLOOKUP(B227,Mai!B:AZ,6,FALSE)="","",VLOOKUP(VLOOKUP(B227,Mai!B:AZ,6,FALSE),Legende_Code,2,FALSE)))</f>
        <v/>
      </c>
      <c r="E227" s="16" t="str">
        <f>IF(AND(VLOOKUP(B227,Mai!B:AZ,6,FALSE)="", WEEKDAY(B227,2)=6,VLOOKUP(B227,Mai!B:AZ,48,FALSE)&gt;0),VLOOKUP(B227,Mai!B:AZ,48,FALSE)*24,"")</f>
        <v/>
      </c>
      <c r="F227" s="16" t="str">
        <f>IF(AND(VLOOKUP(B227,Mai!B:AZ,6,FALSE)="", WEEKDAY(B227,2)=7,VLOOKUP(B227,Mai!B:AZ,49,FALSE)&gt;0),VLOOKUP(B227,Mai!B:AZ,49,FALSE)*24,"")</f>
        <v/>
      </c>
      <c r="G227" s="16" t="str">
        <f>IF(AND(VLOOKUP(B227,Mai!B:AZ,6,FALSE)="",VLOOKUP(B227,Mai!B:AZ,46,FALSE)&gt;0),VLOOKUP(B227,Mai!B:AZ,46,FALSE)*24,"")</f>
        <v/>
      </c>
      <c r="H227" s="36" t="str">
        <f>IF(AND(VLOOKUP(B227,Mai!B:AZ,6,FALSE)="",VLOOKUP(B227,Mai!B:AZ,50,FALSE)&gt;0),VLOOKUP(B227,Mai!B:AZ,50,FALSE)*24,"")</f>
        <v/>
      </c>
      <c r="I227" s="30" t="str">
        <f>IF(AND(NETWORKDAYS(B227,B227,Feiertage)=1,VLOOKUP(B227,Mai!B:AZ,6,FALSE)="U"),"Urlaub","")</f>
        <v/>
      </c>
      <c r="J227" s="34" t="str">
        <f ca="1">IF(AND(VLOOKUP(B227,Mai!B:AZ,6,FALSE)="",VLOOKUP(B227,Mai!B:AZ,22,FALSE)&lt;0),"Absetzen von","")</f>
        <v/>
      </c>
      <c r="K227" s="263"/>
      <c r="M227" s="316" t="str">
        <f ca="1">IF(VLOOKUP(B227,Mai!B:AZ,22,FALSE)&lt;&gt;0,VLOOKUP(B227,Mai!B:AZ,22,FALSE),"")</f>
        <v/>
      </c>
      <c r="N227" s="327"/>
    </row>
    <row r="228" spans="2:14" x14ac:dyDescent="0.25">
      <c r="B228" s="245">
        <f>Mai!F14</f>
        <v>42130</v>
      </c>
      <c r="C228" s="35">
        <f t="shared" si="2"/>
        <v>42130</v>
      </c>
      <c r="D228" s="17" t="str">
        <f>IF(AND(VLOOKUP(B228,Mai!B:AZ,8,FALSE)&gt;0,VLOOKUP(B228,Mai!B:AZ,6,FALSE)=""), CONCATENATE(TEXT(VLOOKUP(B228,Mai!B:AZ,7,FALSE),"hh:mm"), "-", TEXT(VLOOKUP(B228,Mai!B:AZ,8,FALSE),"[hh]:mm")," Uhr ", IF(VLOOKUP(B228,Mai!B:AZ,12,FALSE)&gt;0, CONCATENATE("und ",TEXT(VLOOKUP(B228,Mai!B:AZ,12,FALSE),"hh:mm"), "-", TEXT(VLOOKUP(B228,Mai!B:AZ,13,FALSE),"[hh]:mm")," Uhr "),"")), IF(VLOOKUP(B228,Mai!B:AZ,6,FALSE)="","",VLOOKUP(VLOOKUP(B228,Mai!B:AZ,6,FALSE),Legende_Code,2,FALSE)))</f>
        <v/>
      </c>
      <c r="E228" s="16" t="str">
        <f>IF(AND(VLOOKUP(B228,Mai!B:AZ,6,FALSE)="", WEEKDAY(B228,2)=6,VLOOKUP(B228,Mai!B:AZ,48,FALSE)&gt;0),VLOOKUP(B228,Mai!B:AZ,48,FALSE)*24,"")</f>
        <v/>
      </c>
      <c r="F228" s="16" t="str">
        <f>IF(AND(VLOOKUP(B228,Mai!B:AZ,6,FALSE)="", WEEKDAY(B228,2)=7,VLOOKUP(B228,Mai!B:AZ,49,FALSE)&gt;0),VLOOKUP(B228,Mai!B:AZ,49,FALSE)*24,"")</f>
        <v/>
      </c>
      <c r="G228" s="16" t="str">
        <f>IF(AND(VLOOKUP(B228,Mai!B:AZ,6,FALSE)="",VLOOKUP(B228,Mai!B:AZ,46,FALSE)&gt;0),VLOOKUP(B228,Mai!B:AZ,46,FALSE)*24,"")</f>
        <v/>
      </c>
      <c r="H228" s="36" t="str">
        <f>IF(AND(VLOOKUP(B228,Mai!B:AZ,6,FALSE)="",VLOOKUP(B228,Mai!B:AZ,50,FALSE)&gt;0),VLOOKUP(B228,Mai!B:AZ,50,FALSE)*24,"")</f>
        <v/>
      </c>
      <c r="I228" s="30" t="str">
        <f>IF(AND(NETWORKDAYS(B228,B228,Feiertage)=1,VLOOKUP(B228,Mai!B:AZ,6,FALSE)="U"),"Urlaub","")</f>
        <v/>
      </c>
      <c r="J228" s="34" t="str">
        <f ca="1">IF(AND(VLOOKUP(B228,Mai!B:AZ,6,FALSE)="",VLOOKUP(B228,Mai!B:AZ,22,FALSE)&lt;0),"Absetzen von","")</f>
        <v/>
      </c>
      <c r="K228" s="263"/>
      <c r="M228" s="316" t="str">
        <f ca="1">IF(VLOOKUP(B228,Mai!B:AZ,22,FALSE)&lt;&gt;0,VLOOKUP(B228,Mai!B:AZ,22,FALSE),"")</f>
        <v/>
      </c>
      <c r="N228" s="327"/>
    </row>
    <row r="229" spans="2:14" x14ac:dyDescent="0.25">
      <c r="B229" s="245">
        <f>Mai!F15</f>
        <v>42131</v>
      </c>
      <c r="C229" s="35">
        <f t="shared" si="2"/>
        <v>42131</v>
      </c>
      <c r="D229" s="17" t="str">
        <f>IF(AND(VLOOKUP(B229,Mai!B:AZ,8,FALSE)&gt;0,VLOOKUP(B229,Mai!B:AZ,6,FALSE)=""), CONCATENATE(TEXT(VLOOKUP(B229,Mai!B:AZ,7,FALSE),"hh:mm"), "-", TEXT(VLOOKUP(B229,Mai!B:AZ,8,FALSE),"[hh]:mm")," Uhr ", IF(VLOOKUP(B229,Mai!B:AZ,12,FALSE)&gt;0, CONCATENATE("und ",TEXT(VLOOKUP(B229,Mai!B:AZ,12,FALSE),"hh:mm"), "-", TEXT(VLOOKUP(B229,Mai!B:AZ,13,FALSE),"[hh]:mm")," Uhr "),"")), IF(VLOOKUP(B229,Mai!B:AZ,6,FALSE)="","",VLOOKUP(VLOOKUP(B229,Mai!B:AZ,6,FALSE),Legende_Code,2,FALSE)))</f>
        <v/>
      </c>
      <c r="E229" s="16" t="str">
        <f>IF(AND(VLOOKUP(B229,Mai!B:AZ,6,FALSE)="", WEEKDAY(B229,2)=6,VLOOKUP(B229,Mai!B:AZ,48,FALSE)&gt;0),VLOOKUP(B229,Mai!B:AZ,48,FALSE)*24,"")</f>
        <v/>
      </c>
      <c r="F229" s="16" t="str">
        <f>IF(AND(VLOOKUP(B229,Mai!B:AZ,6,FALSE)="", WEEKDAY(B229,2)=7,VLOOKUP(B229,Mai!B:AZ,49,FALSE)&gt;0),VLOOKUP(B229,Mai!B:AZ,49,FALSE)*24,"")</f>
        <v/>
      </c>
      <c r="G229" s="16" t="str">
        <f>IF(AND(VLOOKUP(B229,Mai!B:AZ,6,FALSE)="",VLOOKUP(B229,Mai!B:AZ,46,FALSE)&gt;0),VLOOKUP(B229,Mai!B:AZ,46,FALSE)*24,"")</f>
        <v/>
      </c>
      <c r="H229" s="36" t="str">
        <f>IF(AND(VLOOKUP(B229,Mai!B:AZ,6,FALSE)="",VLOOKUP(B229,Mai!B:AZ,50,FALSE)&gt;0),VLOOKUP(B229,Mai!B:AZ,50,FALSE)*24,"")</f>
        <v/>
      </c>
      <c r="I229" s="30" t="str">
        <f>IF(AND(NETWORKDAYS(B229,B229,Feiertage)=1,VLOOKUP(B229,Mai!B:AZ,6,FALSE)="U"),"Urlaub","")</f>
        <v/>
      </c>
      <c r="J229" s="34" t="str">
        <f ca="1">IF(AND(VLOOKUP(B229,Mai!B:AZ,6,FALSE)="",VLOOKUP(B229,Mai!B:AZ,22,FALSE)&lt;0),"Absetzen von","")</f>
        <v/>
      </c>
      <c r="K229" s="263"/>
      <c r="M229" s="316" t="str">
        <f ca="1">IF(VLOOKUP(B229,Mai!B:AZ,22,FALSE)&lt;&gt;0,VLOOKUP(B229,Mai!B:AZ,22,FALSE),"")</f>
        <v/>
      </c>
      <c r="N229" s="327"/>
    </row>
    <row r="230" spans="2:14" x14ac:dyDescent="0.25">
      <c r="B230" s="245">
        <f>Mai!F16</f>
        <v>42132</v>
      </c>
      <c r="C230" s="35">
        <f t="shared" si="2"/>
        <v>42132</v>
      </c>
      <c r="D230" s="17" t="str">
        <f>IF(AND(VLOOKUP(B230,Mai!B:AZ,8,FALSE)&gt;0,VLOOKUP(B230,Mai!B:AZ,6,FALSE)=""), CONCATENATE(TEXT(VLOOKUP(B230,Mai!B:AZ,7,FALSE),"hh:mm"), "-", TEXT(VLOOKUP(B230,Mai!B:AZ,8,FALSE),"[hh]:mm")," Uhr ", IF(VLOOKUP(B230,Mai!B:AZ,12,FALSE)&gt;0, CONCATENATE("und ",TEXT(VLOOKUP(B230,Mai!B:AZ,12,FALSE),"hh:mm"), "-", TEXT(VLOOKUP(B230,Mai!B:AZ,13,FALSE),"[hh]:mm")," Uhr "),"")), IF(VLOOKUP(B230,Mai!B:AZ,6,FALSE)="","",VLOOKUP(VLOOKUP(B230,Mai!B:AZ,6,FALSE),Legende_Code,2,FALSE)))</f>
        <v/>
      </c>
      <c r="E230" s="16" t="str">
        <f>IF(AND(VLOOKUP(B230,Mai!B:AZ,6,FALSE)="", WEEKDAY(B230,2)=6,VLOOKUP(B230,Mai!B:AZ,48,FALSE)&gt;0),VLOOKUP(B230,Mai!B:AZ,48,FALSE)*24,"")</f>
        <v/>
      </c>
      <c r="F230" s="16" t="str">
        <f>IF(AND(VLOOKUP(B230,Mai!B:AZ,6,FALSE)="", WEEKDAY(B230,2)=7,VLOOKUP(B230,Mai!B:AZ,49,FALSE)&gt;0),VLOOKUP(B230,Mai!B:AZ,49,FALSE)*24,"")</f>
        <v/>
      </c>
      <c r="G230" s="16" t="str">
        <f>IF(AND(VLOOKUP(B230,Mai!B:AZ,6,FALSE)="",VLOOKUP(B230,Mai!B:AZ,46,FALSE)&gt;0),VLOOKUP(B230,Mai!B:AZ,46,FALSE)*24,"")</f>
        <v/>
      </c>
      <c r="H230" s="36" t="str">
        <f>IF(AND(VLOOKUP(B230,Mai!B:AZ,6,FALSE)="",VLOOKUP(B230,Mai!B:AZ,50,FALSE)&gt;0),VLOOKUP(B230,Mai!B:AZ,50,FALSE)*24,"")</f>
        <v/>
      </c>
      <c r="I230" s="30" t="str">
        <f>IF(AND(NETWORKDAYS(B230,B230,Feiertage)=1,VLOOKUP(B230,Mai!B:AZ,6,FALSE)="U"),"Urlaub","")</f>
        <v/>
      </c>
      <c r="J230" s="34" t="str">
        <f ca="1">IF(AND(VLOOKUP(B230,Mai!B:AZ,6,FALSE)="",VLOOKUP(B230,Mai!B:AZ,22,FALSE)&lt;0),"Absetzen von","")</f>
        <v/>
      </c>
      <c r="K230" s="263"/>
      <c r="M230" s="316" t="str">
        <f ca="1">IF(VLOOKUP(B230,Mai!B:AZ,22,FALSE)&lt;&gt;0,VLOOKUP(B230,Mai!B:AZ,22,FALSE),"")</f>
        <v/>
      </c>
      <c r="N230" s="327"/>
    </row>
    <row r="231" spans="2:14" x14ac:dyDescent="0.25">
      <c r="B231" s="245">
        <f>Mai!F17</f>
        <v>42133</v>
      </c>
      <c r="C231" s="35">
        <f t="shared" si="2"/>
        <v>42133</v>
      </c>
      <c r="D231" s="17" t="str">
        <f>IF(AND(VLOOKUP(B231,Mai!B:AZ,8,FALSE)&gt;0,VLOOKUP(B231,Mai!B:AZ,6,FALSE)=""), CONCATENATE(TEXT(VLOOKUP(B231,Mai!B:AZ,7,FALSE),"hh:mm"), "-", TEXT(VLOOKUP(B231,Mai!B:AZ,8,FALSE),"[hh]:mm")," Uhr ", IF(VLOOKUP(B231,Mai!B:AZ,12,FALSE)&gt;0, CONCATENATE("und ",TEXT(VLOOKUP(B231,Mai!B:AZ,12,FALSE),"hh:mm"), "-", TEXT(VLOOKUP(B231,Mai!B:AZ,13,FALSE),"[hh]:mm")," Uhr "),"")), IF(VLOOKUP(B231,Mai!B:AZ,6,FALSE)="","",VLOOKUP(VLOOKUP(B231,Mai!B:AZ,6,FALSE),Legende_Code,2,FALSE)))</f>
        <v/>
      </c>
      <c r="E231" s="16" t="str">
        <f>IF(AND(VLOOKUP(B231,Mai!B:AZ,6,FALSE)="", WEEKDAY(B231,2)=6,VLOOKUP(B231,Mai!B:AZ,48,FALSE)&gt;0),VLOOKUP(B231,Mai!B:AZ,48,FALSE)*24,"")</f>
        <v/>
      </c>
      <c r="F231" s="16" t="str">
        <f>IF(AND(VLOOKUP(B231,Mai!B:AZ,6,FALSE)="", WEEKDAY(B231,2)=7,VLOOKUP(B231,Mai!B:AZ,49,FALSE)&gt;0),VLOOKUP(B231,Mai!B:AZ,49,FALSE)*24,"")</f>
        <v/>
      </c>
      <c r="G231" s="16" t="str">
        <f>IF(AND(VLOOKUP(B231,Mai!B:AZ,6,FALSE)="",VLOOKUP(B231,Mai!B:AZ,46,FALSE)&gt;0),VLOOKUP(B231,Mai!B:AZ,46,FALSE)*24,"")</f>
        <v/>
      </c>
      <c r="H231" s="36" t="str">
        <f>IF(AND(VLOOKUP(B231,Mai!B:AZ,6,FALSE)="",VLOOKUP(B231,Mai!B:AZ,50,FALSE)&gt;0),VLOOKUP(B231,Mai!B:AZ,50,FALSE)*24,"")</f>
        <v/>
      </c>
      <c r="I231" s="30" t="str">
        <f>IF(AND(NETWORKDAYS(B231,B231,Feiertage)=1,VLOOKUP(B231,Mai!B:AZ,6,FALSE)="U"),"Urlaub","")</f>
        <v/>
      </c>
      <c r="J231" s="34" t="str">
        <f ca="1">IF(AND(VLOOKUP(B231,Mai!B:AZ,6,FALSE)="",VLOOKUP(B231,Mai!B:AZ,22,FALSE)&lt;0),"Absetzen von","")</f>
        <v/>
      </c>
      <c r="K231" s="263"/>
      <c r="M231" s="316" t="str">
        <f ca="1">IF(VLOOKUP(B231,Mai!B:AZ,22,FALSE)&lt;&gt;0,VLOOKUP(B231,Mai!B:AZ,22,FALSE),"")</f>
        <v/>
      </c>
      <c r="N231" s="327"/>
    </row>
    <row r="232" spans="2:14" x14ac:dyDescent="0.25">
      <c r="B232" s="245">
        <f>Mai!F18</f>
        <v>42134</v>
      </c>
      <c r="C232" s="35">
        <f t="shared" si="2"/>
        <v>42134</v>
      </c>
      <c r="D232" s="17" t="str">
        <f>IF(AND(VLOOKUP(B232,Mai!B:AZ,8,FALSE)&gt;0,VLOOKUP(B232,Mai!B:AZ,6,FALSE)=""), CONCATENATE(TEXT(VLOOKUP(B232,Mai!B:AZ,7,FALSE),"hh:mm"), "-", TEXT(VLOOKUP(B232,Mai!B:AZ,8,FALSE),"[hh]:mm")," Uhr ", IF(VLOOKUP(B232,Mai!B:AZ,12,FALSE)&gt;0, CONCATENATE("und ",TEXT(VLOOKUP(B232,Mai!B:AZ,12,FALSE),"hh:mm"), "-", TEXT(VLOOKUP(B232,Mai!B:AZ,13,FALSE),"[hh]:mm")," Uhr "),"")), IF(VLOOKUP(B232,Mai!B:AZ,6,FALSE)="","",VLOOKUP(VLOOKUP(B232,Mai!B:AZ,6,FALSE),Legende_Code,2,FALSE)))</f>
        <v/>
      </c>
      <c r="E232" s="16" t="str">
        <f>IF(AND(VLOOKUP(B232,Mai!B:AZ,6,FALSE)="", WEEKDAY(B232,2)=6,VLOOKUP(B232,Mai!B:AZ,48,FALSE)&gt;0),VLOOKUP(B232,Mai!B:AZ,48,FALSE)*24,"")</f>
        <v/>
      </c>
      <c r="F232" s="16" t="str">
        <f>IF(AND(VLOOKUP(B232,Mai!B:AZ,6,FALSE)="", WEEKDAY(B232,2)=7,VLOOKUP(B232,Mai!B:AZ,49,FALSE)&gt;0),VLOOKUP(B232,Mai!B:AZ,49,FALSE)*24,"")</f>
        <v/>
      </c>
      <c r="G232" s="16" t="str">
        <f>IF(AND(VLOOKUP(B232,Mai!B:AZ,6,FALSE)="",VLOOKUP(B232,Mai!B:AZ,46,FALSE)&gt;0),VLOOKUP(B232,Mai!B:AZ,46,FALSE)*24,"")</f>
        <v/>
      </c>
      <c r="H232" s="36" t="str">
        <f>IF(AND(VLOOKUP(B232,Mai!B:AZ,6,FALSE)="",VLOOKUP(B232,Mai!B:AZ,50,FALSE)&gt;0),VLOOKUP(B232,Mai!B:AZ,50,FALSE)*24,"")</f>
        <v/>
      </c>
      <c r="I232" s="30" t="str">
        <f>IF(AND(NETWORKDAYS(B232,B232,Feiertage)=1,VLOOKUP(B232,Mai!B:AZ,6,FALSE)="U"),"Urlaub","")</f>
        <v/>
      </c>
      <c r="J232" s="34" t="str">
        <f ca="1">IF(AND(VLOOKUP(B232,Mai!B:AZ,6,FALSE)="",VLOOKUP(B232,Mai!B:AZ,22,FALSE)&lt;0),"Absetzen von","")</f>
        <v/>
      </c>
      <c r="K232" s="263"/>
      <c r="M232" s="316" t="str">
        <f ca="1">IF(VLOOKUP(B232,Mai!B:AZ,22,FALSE)&lt;&gt;0,VLOOKUP(B232,Mai!B:AZ,22,FALSE),"")</f>
        <v/>
      </c>
      <c r="N232" s="327"/>
    </row>
    <row r="233" spans="2:14" x14ac:dyDescent="0.25">
      <c r="B233" s="245">
        <f>Mai!F19</f>
        <v>42135</v>
      </c>
      <c r="C233" s="35">
        <f t="shared" si="2"/>
        <v>42135</v>
      </c>
      <c r="D233" s="17" t="str">
        <f>IF(AND(VLOOKUP(B233,Mai!B:AZ,8,FALSE)&gt;0,VLOOKUP(B233,Mai!B:AZ,6,FALSE)=""), CONCATENATE(TEXT(VLOOKUP(B233,Mai!B:AZ,7,FALSE),"hh:mm"), "-", TEXT(VLOOKUP(B233,Mai!B:AZ,8,FALSE),"[hh]:mm")," Uhr ", IF(VLOOKUP(B233,Mai!B:AZ,12,FALSE)&gt;0, CONCATENATE("und ",TEXT(VLOOKUP(B233,Mai!B:AZ,12,FALSE),"hh:mm"), "-", TEXT(VLOOKUP(B233,Mai!B:AZ,13,FALSE),"[hh]:mm")," Uhr "),"")), IF(VLOOKUP(B233,Mai!B:AZ,6,FALSE)="","",VLOOKUP(VLOOKUP(B233,Mai!B:AZ,6,FALSE),Legende_Code,2,FALSE)))</f>
        <v/>
      </c>
      <c r="E233" s="16" t="str">
        <f>IF(AND(VLOOKUP(B233,Mai!B:AZ,6,FALSE)="", WEEKDAY(B233,2)=6,VLOOKUP(B233,Mai!B:AZ,48,FALSE)&gt;0),VLOOKUP(B233,Mai!B:AZ,48,FALSE)*24,"")</f>
        <v/>
      </c>
      <c r="F233" s="16" t="str">
        <f>IF(AND(VLOOKUP(B233,Mai!B:AZ,6,FALSE)="", WEEKDAY(B233,2)=7,VLOOKUP(B233,Mai!B:AZ,49,FALSE)&gt;0),VLOOKUP(B233,Mai!B:AZ,49,FALSE)*24,"")</f>
        <v/>
      </c>
      <c r="G233" s="16" t="str">
        <f>IF(AND(VLOOKUP(B233,Mai!B:AZ,6,FALSE)="",VLOOKUP(B233,Mai!B:AZ,46,FALSE)&gt;0),VLOOKUP(B233,Mai!B:AZ,46,FALSE)*24,"")</f>
        <v/>
      </c>
      <c r="H233" s="36" t="str">
        <f>IF(AND(VLOOKUP(B233,Mai!B:AZ,6,FALSE)="",VLOOKUP(B233,Mai!B:AZ,50,FALSE)&gt;0),VLOOKUP(B233,Mai!B:AZ,50,FALSE)*24,"")</f>
        <v/>
      </c>
      <c r="I233" s="30" t="str">
        <f>IF(AND(NETWORKDAYS(B233,B233,Feiertage)=1,VLOOKUP(B233,Mai!B:AZ,6,FALSE)="U"),"Urlaub","")</f>
        <v/>
      </c>
      <c r="J233" s="34" t="str">
        <f ca="1">IF(AND(VLOOKUP(B233,Mai!B:AZ,6,FALSE)="",VLOOKUP(B233,Mai!B:AZ,22,FALSE)&lt;0),"Absetzen von","")</f>
        <v/>
      </c>
      <c r="K233" s="263"/>
      <c r="M233" s="316" t="str">
        <f ca="1">IF(VLOOKUP(B233,Mai!B:AZ,22,FALSE)&lt;&gt;0,VLOOKUP(B233,Mai!B:AZ,22,FALSE),"")</f>
        <v/>
      </c>
      <c r="N233" s="327"/>
    </row>
    <row r="234" spans="2:14" x14ac:dyDescent="0.25">
      <c r="B234" s="245">
        <f>Mai!F20</f>
        <v>42136</v>
      </c>
      <c r="C234" s="35">
        <f t="shared" si="2"/>
        <v>42136</v>
      </c>
      <c r="D234" s="17" t="str">
        <f>IF(AND(VLOOKUP(B234,Mai!B:AZ,8,FALSE)&gt;0,VLOOKUP(B234,Mai!B:AZ,6,FALSE)=""), CONCATENATE(TEXT(VLOOKUP(B234,Mai!B:AZ,7,FALSE),"hh:mm"), "-", TEXT(VLOOKUP(B234,Mai!B:AZ,8,FALSE),"[hh]:mm")," Uhr ", IF(VLOOKUP(B234,Mai!B:AZ,12,FALSE)&gt;0, CONCATENATE("und ",TEXT(VLOOKUP(B234,Mai!B:AZ,12,FALSE),"hh:mm"), "-", TEXT(VLOOKUP(B234,Mai!B:AZ,13,FALSE),"[hh]:mm")," Uhr "),"")), IF(VLOOKUP(B234,Mai!B:AZ,6,FALSE)="","",VLOOKUP(VLOOKUP(B234,Mai!B:AZ,6,FALSE),Legende_Code,2,FALSE)))</f>
        <v/>
      </c>
      <c r="E234" s="16" t="str">
        <f>IF(AND(VLOOKUP(B234,Mai!B:AZ,6,FALSE)="", WEEKDAY(B234,2)=6,VLOOKUP(B234,Mai!B:AZ,48,FALSE)&gt;0),VLOOKUP(B234,Mai!B:AZ,48,FALSE)*24,"")</f>
        <v/>
      </c>
      <c r="F234" s="16" t="str">
        <f>IF(AND(VLOOKUP(B234,Mai!B:AZ,6,FALSE)="", WEEKDAY(B234,2)=7,VLOOKUP(B234,Mai!B:AZ,49,FALSE)&gt;0),VLOOKUP(B234,Mai!B:AZ,49,FALSE)*24,"")</f>
        <v/>
      </c>
      <c r="G234" s="16" t="str">
        <f>IF(AND(VLOOKUP(B234,Mai!B:AZ,6,FALSE)="",VLOOKUP(B234,Mai!B:AZ,46,FALSE)&gt;0),VLOOKUP(B234,Mai!B:AZ,46,FALSE)*24,"")</f>
        <v/>
      </c>
      <c r="H234" s="36" t="str">
        <f>IF(AND(VLOOKUP(B234,Mai!B:AZ,6,FALSE)="",VLOOKUP(B234,Mai!B:AZ,50,FALSE)&gt;0),VLOOKUP(B234,Mai!B:AZ,50,FALSE)*24,"")</f>
        <v/>
      </c>
      <c r="I234" s="30" t="str">
        <f>IF(AND(NETWORKDAYS(B234,B234,Feiertage)=1,VLOOKUP(B234,Mai!B:AZ,6,FALSE)="U"),"Urlaub","")</f>
        <v/>
      </c>
      <c r="J234" s="34" t="str">
        <f ca="1">IF(AND(VLOOKUP(B234,Mai!B:AZ,6,FALSE)="",VLOOKUP(B234,Mai!B:AZ,22,FALSE)&lt;0),"Absetzen von","")</f>
        <v/>
      </c>
      <c r="K234" s="263"/>
      <c r="M234" s="316" t="str">
        <f ca="1">IF(VLOOKUP(B234,Mai!B:AZ,22,FALSE)&lt;&gt;0,VLOOKUP(B234,Mai!B:AZ,22,FALSE),"")</f>
        <v/>
      </c>
      <c r="N234" s="327"/>
    </row>
    <row r="235" spans="2:14" x14ac:dyDescent="0.25">
      <c r="B235" s="245">
        <f>Mai!F21</f>
        <v>42137</v>
      </c>
      <c r="C235" s="35">
        <f t="shared" ref="C235:C303" si="3">B235</f>
        <v>42137</v>
      </c>
      <c r="D235" s="17" t="str">
        <f>IF(AND(VLOOKUP(B235,Mai!B:AZ,8,FALSE)&gt;0,VLOOKUP(B235,Mai!B:AZ,6,FALSE)=""), CONCATENATE(TEXT(VLOOKUP(B235,Mai!B:AZ,7,FALSE),"hh:mm"), "-", TEXT(VLOOKUP(B235,Mai!B:AZ,8,FALSE),"[hh]:mm")," Uhr ", IF(VLOOKUP(B235,Mai!B:AZ,12,FALSE)&gt;0, CONCATENATE("und ",TEXT(VLOOKUP(B235,Mai!B:AZ,12,FALSE),"hh:mm"), "-", TEXT(VLOOKUP(B235,Mai!B:AZ,13,FALSE),"[hh]:mm")," Uhr "),"")), IF(VLOOKUP(B235,Mai!B:AZ,6,FALSE)="","",VLOOKUP(VLOOKUP(B235,Mai!B:AZ,6,FALSE),Legende_Code,2,FALSE)))</f>
        <v/>
      </c>
      <c r="E235" s="16" t="str">
        <f>IF(AND(VLOOKUP(B235,Mai!B:AZ,6,FALSE)="", WEEKDAY(B235,2)=6,VLOOKUP(B235,Mai!B:AZ,48,FALSE)&gt;0),VLOOKUP(B235,Mai!B:AZ,48,FALSE)*24,"")</f>
        <v/>
      </c>
      <c r="F235" s="16" t="str">
        <f>IF(AND(VLOOKUP(B235,Mai!B:AZ,6,FALSE)="", WEEKDAY(B235,2)=7,VLOOKUP(B235,Mai!B:AZ,49,FALSE)&gt;0),VLOOKUP(B235,Mai!B:AZ,49,FALSE)*24,"")</f>
        <v/>
      </c>
      <c r="G235" s="16" t="str">
        <f>IF(AND(VLOOKUP(B235,Mai!B:AZ,6,FALSE)="",VLOOKUP(B235,Mai!B:AZ,46,FALSE)&gt;0),VLOOKUP(B235,Mai!B:AZ,46,FALSE)*24,"")</f>
        <v/>
      </c>
      <c r="H235" s="36" t="str">
        <f>IF(AND(VLOOKUP(B235,Mai!B:AZ,6,FALSE)="",VLOOKUP(B235,Mai!B:AZ,50,FALSE)&gt;0),VLOOKUP(B235,Mai!B:AZ,50,FALSE)*24,"")</f>
        <v/>
      </c>
      <c r="I235" s="30" t="str">
        <f>IF(AND(NETWORKDAYS(B235,B235,Feiertage)=1,VLOOKUP(B235,Mai!B:AZ,6,FALSE)="U"),"Urlaub","")</f>
        <v/>
      </c>
      <c r="J235" s="34" t="str">
        <f ca="1">IF(AND(VLOOKUP(B235,Mai!B:AZ,6,FALSE)="",VLOOKUP(B235,Mai!B:AZ,22,FALSE)&lt;0),"Absetzen von","")</f>
        <v/>
      </c>
      <c r="K235" s="263"/>
      <c r="M235" s="316" t="str">
        <f ca="1">IF(VLOOKUP(B235,Mai!B:AZ,22,FALSE)&lt;&gt;0,VLOOKUP(B235,Mai!B:AZ,22,FALSE),"")</f>
        <v/>
      </c>
      <c r="N235" s="327"/>
    </row>
    <row r="236" spans="2:14" x14ac:dyDescent="0.25">
      <c r="B236" s="245">
        <f>Mai!F22</f>
        <v>42138</v>
      </c>
      <c r="C236" s="35">
        <f t="shared" si="3"/>
        <v>42138</v>
      </c>
      <c r="D236" s="17" t="str">
        <f>IF(AND(VLOOKUP(B236,Mai!B:AZ,8,FALSE)&gt;0,VLOOKUP(B236,Mai!B:AZ,6,FALSE)=""), CONCATENATE(TEXT(VLOOKUP(B236,Mai!B:AZ,7,FALSE),"hh:mm"), "-", TEXT(VLOOKUP(B236,Mai!B:AZ,8,FALSE),"[hh]:mm")," Uhr ", IF(VLOOKUP(B236,Mai!B:AZ,12,FALSE)&gt;0, CONCATENATE("und ",TEXT(VLOOKUP(B236,Mai!B:AZ,12,FALSE),"hh:mm"), "-", TEXT(VLOOKUP(B236,Mai!B:AZ,13,FALSE),"[hh]:mm")," Uhr "),"")), IF(VLOOKUP(B236,Mai!B:AZ,6,FALSE)="","",VLOOKUP(VLOOKUP(B236,Mai!B:AZ,6,FALSE),Legende_Code,2,FALSE)))</f>
        <v/>
      </c>
      <c r="E236" s="16" t="str">
        <f>IF(AND(VLOOKUP(B236,Mai!B:AZ,6,FALSE)="", WEEKDAY(B236,2)=6,VLOOKUP(B236,Mai!B:AZ,48,FALSE)&gt;0),VLOOKUP(B236,Mai!B:AZ,48,FALSE)*24,"")</f>
        <v/>
      </c>
      <c r="F236" s="16" t="str">
        <f>IF(AND(VLOOKUP(B236,Mai!B:AZ,6,FALSE)="", WEEKDAY(B236,2)=7,VLOOKUP(B236,Mai!B:AZ,49,FALSE)&gt;0),VLOOKUP(B236,Mai!B:AZ,49,FALSE)*24,"")</f>
        <v/>
      </c>
      <c r="G236" s="16" t="str">
        <f>IF(AND(VLOOKUP(B236,Mai!B:AZ,6,FALSE)="",VLOOKUP(B236,Mai!B:AZ,46,FALSE)&gt;0),VLOOKUP(B236,Mai!B:AZ,46,FALSE)*24,"")</f>
        <v/>
      </c>
      <c r="H236" s="36" t="str">
        <f>IF(AND(VLOOKUP(B236,Mai!B:AZ,6,FALSE)="",VLOOKUP(B236,Mai!B:AZ,50,FALSE)&gt;0),VLOOKUP(B236,Mai!B:AZ,50,FALSE)*24,"")</f>
        <v/>
      </c>
      <c r="I236" s="30" t="str">
        <f>IF(AND(NETWORKDAYS(B236,B236,Feiertage)=1,VLOOKUP(B236,Mai!B:AZ,6,FALSE)="U"),"Urlaub","")</f>
        <v/>
      </c>
      <c r="J236" s="34" t="str">
        <f ca="1">IF(AND(VLOOKUP(B236,Mai!B:AZ,6,FALSE)="",VLOOKUP(B236,Mai!B:AZ,22,FALSE)&lt;0),"Absetzen von","")</f>
        <v/>
      </c>
      <c r="K236" s="263"/>
      <c r="M236" s="316" t="str">
        <f ca="1">IF(VLOOKUP(B236,Mai!B:AZ,22,FALSE)&lt;&gt;0,VLOOKUP(B236,Mai!B:AZ,22,FALSE),"")</f>
        <v/>
      </c>
      <c r="N236" s="327"/>
    </row>
    <row r="237" spans="2:14" x14ac:dyDescent="0.25">
      <c r="B237" s="245">
        <f>Mai!F23</f>
        <v>42139</v>
      </c>
      <c r="C237" s="35">
        <f t="shared" si="3"/>
        <v>42139</v>
      </c>
      <c r="D237" s="17" t="str">
        <f>IF(AND(VLOOKUP(B237,Mai!B:AZ,8,FALSE)&gt;0,VLOOKUP(B237,Mai!B:AZ,6,FALSE)=""), CONCATENATE(TEXT(VLOOKUP(B237,Mai!B:AZ,7,FALSE),"hh:mm"), "-", TEXT(VLOOKUP(B237,Mai!B:AZ,8,FALSE),"[hh]:mm")," Uhr ", IF(VLOOKUP(B237,Mai!B:AZ,12,FALSE)&gt;0, CONCATENATE("und ",TEXT(VLOOKUP(B237,Mai!B:AZ,12,FALSE),"hh:mm"), "-", TEXT(VLOOKUP(B237,Mai!B:AZ,13,FALSE),"[hh]:mm")," Uhr "),"")), IF(VLOOKUP(B237,Mai!B:AZ,6,FALSE)="","",VLOOKUP(VLOOKUP(B237,Mai!B:AZ,6,FALSE),Legende_Code,2,FALSE)))</f>
        <v/>
      </c>
      <c r="E237" s="16" t="str">
        <f>IF(AND(VLOOKUP(B237,Mai!B:AZ,6,FALSE)="", WEEKDAY(B237,2)=6,VLOOKUP(B237,Mai!B:AZ,48,FALSE)&gt;0),VLOOKUP(B237,Mai!B:AZ,48,FALSE)*24,"")</f>
        <v/>
      </c>
      <c r="F237" s="16" t="str">
        <f>IF(AND(VLOOKUP(B237,Mai!B:AZ,6,FALSE)="", WEEKDAY(B237,2)=7,VLOOKUP(B237,Mai!B:AZ,49,FALSE)&gt;0),VLOOKUP(B237,Mai!B:AZ,49,FALSE)*24,"")</f>
        <v/>
      </c>
      <c r="G237" s="16" t="str">
        <f>IF(AND(VLOOKUP(B237,Mai!B:AZ,6,FALSE)="",VLOOKUP(B237,Mai!B:AZ,46,FALSE)&gt;0),VLOOKUP(B237,Mai!B:AZ,46,FALSE)*24,"")</f>
        <v/>
      </c>
      <c r="H237" s="36" t="str">
        <f>IF(AND(VLOOKUP(B237,Mai!B:AZ,6,FALSE)="",VLOOKUP(B237,Mai!B:AZ,50,FALSE)&gt;0),VLOOKUP(B237,Mai!B:AZ,50,FALSE)*24,"")</f>
        <v/>
      </c>
      <c r="I237" s="30" t="str">
        <f>IF(AND(NETWORKDAYS(B237,B237,Feiertage)=1,VLOOKUP(B237,Mai!B:AZ,6,FALSE)="U"),"Urlaub","")</f>
        <v/>
      </c>
      <c r="J237" s="34" t="str">
        <f ca="1">IF(AND(VLOOKUP(B237,Mai!B:AZ,6,FALSE)="",VLOOKUP(B237,Mai!B:AZ,22,FALSE)&lt;0),"Absetzen von","")</f>
        <v/>
      </c>
      <c r="K237" s="263"/>
      <c r="M237" s="316" t="str">
        <f ca="1">IF(VLOOKUP(B237,Mai!B:AZ,22,FALSE)&lt;&gt;0,VLOOKUP(B237,Mai!B:AZ,22,FALSE),"")</f>
        <v/>
      </c>
      <c r="N237" s="327"/>
    </row>
    <row r="238" spans="2:14" x14ac:dyDescent="0.25">
      <c r="B238" s="245">
        <f>Mai!F24</f>
        <v>42140</v>
      </c>
      <c r="C238" s="35">
        <f t="shared" si="3"/>
        <v>42140</v>
      </c>
      <c r="D238" s="17" t="str">
        <f>IF(AND(VLOOKUP(B238,Mai!B:AZ,8,FALSE)&gt;0,VLOOKUP(B238,Mai!B:AZ,6,FALSE)=""), CONCATENATE(TEXT(VLOOKUP(B238,Mai!B:AZ,7,FALSE),"hh:mm"), "-", TEXT(VLOOKUP(B238,Mai!B:AZ,8,FALSE),"[hh]:mm")," Uhr ", IF(VLOOKUP(B238,Mai!B:AZ,12,FALSE)&gt;0, CONCATENATE("und ",TEXT(VLOOKUP(B238,Mai!B:AZ,12,FALSE),"hh:mm"), "-", TEXT(VLOOKUP(B238,Mai!B:AZ,13,FALSE),"[hh]:mm")," Uhr "),"")), IF(VLOOKUP(B238,Mai!B:AZ,6,FALSE)="","",VLOOKUP(VLOOKUP(B238,Mai!B:AZ,6,FALSE),Legende_Code,2,FALSE)))</f>
        <v/>
      </c>
      <c r="E238" s="16" t="str">
        <f>IF(AND(VLOOKUP(B238,Mai!B:AZ,6,FALSE)="", WEEKDAY(B238,2)=6,VLOOKUP(B238,Mai!B:AZ,48,FALSE)&gt;0),VLOOKUP(B238,Mai!B:AZ,48,FALSE)*24,"")</f>
        <v/>
      </c>
      <c r="F238" s="16" t="str">
        <f>IF(AND(VLOOKUP(B238,Mai!B:AZ,6,FALSE)="", WEEKDAY(B238,2)=7,VLOOKUP(B238,Mai!B:AZ,49,FALSE)&gt;0),VLOOKUP(B238,Mai!B:AZ,49,FALSE)*24,"")</f>
        <v/>
      </c>
      <c r="G238" s="16" t="str">
        <f>IF(AND(VLOOKUP(B238,Mai!B:AZ,6,FALSE)="",VLOOKUP(B238,Mai!B:AZ,46,FALSE)&gt;0),VLOOKUP(B238,Mai!B:AZ,46,FALSE)*24,"")</f>
        <v/>
      </c>
      <c r="H238" s="36" t="str">
        <f>IF(AND(VLOOKUP(B238,Mai!B:AZ,6,FALSE)="",VLOOKUP(B238,Mai!B:AZ,50,FALSE)&gt;0),VLOOKUP(B238,Mai!B:AZ,50,FALSE)*24,"")</f>
        <v/>
      </c>
      <c r="I238" s="30" t="str">
        <f>IF(AND(NETWORKDAYS(B238,B238,Feiertage)=1,VLOOKUP(B238,Mai!B:AZ,6,FALSE)="U"),"Urlaub","")</f>
        <v/>
      </c>
      <c r="J238" s="34" t="str">
        <f ca="1">IF(AND(VLOOKUP(B238,Mai!B:AZ,6,FALSE)="",VLOOKUP(B238,Mai!B:AZ,22,FALSE)&lt;0),"Absetzen von","")</f>
        <v/>
      </c>
      <c r="K238" s="263"/>
      <c r="M238" s="316" t="str">
        <f ca="1">IF(VLOOKUP(B238,Mai!B:AZ,22,FALSE)&lt;&gt;0,VLOOKUP(B238,Mai!B:AZ,22,FALSE),"")</f>
        <v/>
      </c>
      <c r="N238" s="327"/>
    </row>
    <row r="239" spans="2:14" x14ac:dyDescent="0.25">
      <c r="B239" s="245">
        <f>Mai!F25</f>
        <v>42141</v>
      </c>
      <c r="C239" s="35">
        <f t="shared" si="3"/>
        <v>42141</v>
      </c>
      <c r="D239" s="17" t="str">
        <f>IF(AND(VLOOKUP(B239,Mai!B:AZ,8,FALSE)&gt;0,VLOOKUP(B239,Mai!B:AZ,6,FALSE)=""), CONCATENATE(TEXT(VLOOKUP(B239,Mai!B:AZ,7,FALSE),"hh:mm"), "-", TEXT(VLOOKUP(B239,Mai!B:AZ,8,FALSE),"[hh]:mm")," Uhr ", IF(VLOOKUP(B239,Mai!B:AZ,12,FALSE)&gt;0, CONCATENATE("und ",TEXT(VLOOKUP(B239,Mai!B:AZ,12,FALSE),"hh:mm"), "-", TEXT(VLOOKUP(B239,Mai!B:AZ,13,FALSE),"[hh]:mm")," Uhr "),"")), IF(VLOOKUP(B239,Mai!B:AZ,6,FALSE)="","",VLOOKUP(VLOOKUP(B239,Mai!B:AZ,6,FALSE),Legende_Code,2,FALSE)))</f>
        <v/>
      </c>
      <c r="E239" s="16" t="str">
        <f>IF(AND(VLOOKUP(B239,Mai!B:AZ,6,FALSE)="", WEEKDAY(B239,2)=6,VLOOKUP(B239,Mai!B:AZ,48,FALSE)&gt;0),VLOOKUP(B239,Mai!B:AZ,48,FALSE)*24,"")</f>
        <v/>
      </c>
      <c r="F239" s="16" t="str">
        <f>IF(AND(VLOOKUP(B239,Mai!B:AZ,6,FALSE)="", WEEKDAY(B239,2)=7,VLOOKUP(B239,Mai!B:AZ,49,FALSE)&gt;0),VLOOKUP(B239,Mai!B:AZ,49,FALSE)*24,"")</f>
        <v/>
      </c>
      <c r="G239" s="16" t="str">
        <f>IF(AND(VLOOKUP(B239,Mai!B:AZ,6,FALSE)="",VLOOKUP(B239,Mai!B:AZ,46,FALSE)&gt;0),VLOOKUP(B239,Mai!B:AZ,46,FALSE)*24,"")</f>
        <v/>
      </c>
      <c r="H239" s="36" t="str">
        <f>IF(AND(VLOOKUP(B239,Mai!B:AZ,6,FALSE)="",VLOOKUP(B239,Mai!B:AZ,50,FALSE)&gt;0),VLOOKUP(B239,Mai!B:AZ,50,FALSE)*24,"")</f>
        <v/>
      </c>
      <c r="I239" s="30" t="str">
        <f>IF(AND(NETWORKDAYS(B239,B239,Feiertage)=1,VLOOKUP(B239,Mai!B:AZ,6,FALSE)="U"),"Urlaub","")</f>
        <v/>
      </c>
      <c r="J239" s="34" t="str">
        <f ca="1">IF(AND(VLOOKUP(B239,Mai!B:AZ,6,FALSE)="",VLOOKUP(B239,Mai!B:AZ,22,FALSE)&lt;0),"Absetzen von","")</f>
        <v/>
      </c>
      <c r="K239" s="263"/>
      <c r="M239" s="316" t="str">
        <f ca="1">IF(VLOOKUP(B239,Mai!B:AZ,22,FALSE)&lt;&gt;0,VLOOKUP(B239,Mai!B:AZ,22,FALSE),"")</f>
        <v/>
      </c>
      <c r="N239" s="327"/>
    </row>
    <row r="240" spans="2:14" x14ac:dyDescent="0.25">
      <c r="B240" s="245">
        <f>Mai!F26</f>
        <v>42142</v>
      </c>
      <c r="C240" s="35">
        <f t="shared" si="3"/>
        <v>42142</v>
      </c>
      <c r="D240" s="17" t="str">
        <f>IF(AND(VLOOKUP(B240,Mai!B:AZ,8,FALSE)&gt;0,VLOOKUP(B240,Mai!B:AZ,6,FALSE)=""), CONCATENATE(TEXT(VLOOKUP(B240,Mai!B:AZ,7,FALSE),"hh:mm"), "-", TEXT(VLOOKUP(B240,Mai!B:AZ,8,FALSE),"[hh]:mm")," Uhr ", IF(VLOOKUP(B240,Mai!B:AZ,12,FALSE)&gt;0, CONCATENATE("und ",TEXT(VLOOKUP(B240,Mai!B:AZ,12,FALSE),"hh:mm"), "-", TEXT(VLOOKUP(B240,Mai!B:AZ,13,FALSE),"[hh]:mm")," Uhr "),"")), IF(VLOOKUP(B240,Mai!B:AZ,6,FALSE)="","",VLOOKUP(VLOOKUP(B240,Mai!B:AZ,6,FALSE),Legende_Code,2,FALSE)))</f>
        <v/>
      </c>
      <c r="E240" s="16" t="str">
        <f>IF(AND(VLOOKUP(B240,Mai!B:AZ,6,FALSE)="", WEEKDAY(B240,2)=6,VLOOKUP(B240,Mai!B:AZ,48,FALSE)&gt;0),VLOOKUP(B240,Mai!B:AZ,48,FALSE)*24,"")</f>
        <v/>
      </c>
      <c r="F240" s="16" t="str">
        <f>IF(AND(VLOOKUP(B240,Mai!B:AZ,6,FALSE)="", WEEKDAY(B240,2)=7,VLOOKUP(B240,Mai!B:AZ,49,FALSE)&gt;0),VLOOKUP(B240,Mai!B:AZ,49,FALSE)*24,"")</f>
        <v/>
      </c>
      <c r="G240" s="16" t="str">
        <f>IF(AND(VLOOKUP(B240,Mai!B:AZ,6,FALSE)="",VLOOKUP(B240,Mai!B:AZ,46,FALSE)&gt;0),VLOOKUP(B240,Mai!B:AZ,46,FALSE)*24,"")</f>
        <v/>
      </c>
      <c r="H240" s="36" t="str">
        <f>IF(AND(VLOOKUP(B240,Mai!B:AZ,6,FALSE)="",VLOOKUP(B240,Mai!B:AZ,50,FALSE)&gt;0),VLOOKUP(B240,Mai!B:AZ,50,FALSE)*24,"")</f>
        <v/>
      </c>
      <c r="I240" s="30" t="str">
        <f>IF(AND(NETWORKDAYS(B240,B240,Feiertage)=1,VLOOKUP(B240,Mai!B:AZ,6,FALSE)="U"),"Urlaub","")</f>
        <v/>
      </c>
      <c r="J240" s="34" t="str">
        <f ca="1">IF(AND(VLOOKUP(B240,Mai!B:AZ,6,FALSE)="",VLOOKUP(B240,Mai!B:AZ,22,FALSE)&lt;0),"Absetzen von","")</f>
        <v/>
      </c>
      <c r="K240" s="263"/>
      <c r="M240" s="316" t="str">
        <f ca="1">IF(VLOOKUP(B240,Mai!B:AZ,22,FALSE)&lt;&gt;0,VLOOKUP(B240,Mai!B:AZ,22,FALSE),"")</f>
        <v/>
      </c>
      <c r="N240" s="327"/>
    </row>
    <row r="241" spans="2:14" x14ac:dyDescent="0.25">
      <c r="B241" s="245">
        <f>Mai!F27</f>
        <v>42143</v>
      </c>
      <c r="C241" s="35">
        <f t="shared" si="3"/>
        <v>42143</v>
      </c>
      <c r="D241" s="17" t="str">
        <f>IF(AND(VLOOKUP(B241,Mai!B:AZ,8,FALSE)&gt;0,VLOOKUP(B241,Mai!B:AZ,6,FALSE)=""), CONCATENATE(TEXT(VLOOKUP(B241,Mai!B:AZ,7,FALSE),"hh:mm"), "-", TEXT(VLOOKUP(B241,Mai!B:AZ,8,FALSE),"[hh]:mm")," Uhr ", IF(VLOOKUP(B241,Mai!B:AZ,12,FALSE)&gt;0, CONCATENATE("und ",TEXT(VLOOKUP(B241,Mai!B:AZ,12,FALSE),"hh:mm"), "-", TEXT(VLOOKUP(B241,Mai!B:AZ,13,FALSE),"[hh]:mm")," Uhr "),"")), IF(VLOOKUP(B241,Mai!B:AZ,6,FALSE)="","",VLOOKUP(VLOOKUP(B241,Mai!B:AZ,6,FALSE),Legende_Code,2,FALSE)))</f>
        <v/>
      </c>
      <c r="E241" s="16" t="str">
        <f>IF(AND(VLOOKUP(B241,Mai!B:AZ,6,FALSE)="", WEEKDAY(B241,2)=6,VLOOKUP(B241,Mai!B:AZ,48,FALSE)&gt;0),VLOOKUP(B241,Mai!B:AZ,48,FALSE)*24,"")</f>
        <v/>
      </c>
      <c r="F241" s="16" t="str">
        <f>IF(AND(VLOOKUP(B241,Mai!B:AZ,6,FALSE)="", WEEKDAY(B241,2)=7,VLOOKUP(B241,Mai!B:AZ,49,FALSE)&gt;0),VLOOKUP(B241,Mai!B:AZ,49,FALSE)*24,"")</f>
        <v/>
      </c>
      <c r="G241" s="16" t="str">
        <f>IF(AND(VLOOKUP(B241,Mai!B:AZ,6,FALSE)="",VLOOKUP(B241,Mai!B:AZ,46,FALSE)&gt;0),VLOOKUP(B241,Mai!B:AZ,46,FALSE)*24,"")</f>
        <v/>
      </c>
      <c r="H241" s="36" t="str">
        <f>IF(AND(VLOOKUP(B241,Mai!B:AZ,6,FALSE)="",VLOOKUP(B241,Mai!B:AZ,50,FALSE)&gt;0),VLOOKUP(B241,Mai!B:AZ,50,FALSE)*24,"")</f>
        <v/>
      </c>
      <c r="I241" s="30" t="str">
        <f>IF(AND(NETWORKDAYS(B241,B241,Feiertage)=1,VLOOKUP(B241,Mai!B:AZ,6,FALSE)="U"),"Urlaub","")</f>
        <v/>
      </c>
      <c r="J241" s="34" t="str">
        <f ca="1">IF(AND(VLOOKUP(B241,Mai!B:AZ,6,FALSE)="",VLOOKUP(B241,Mai!B:AZ,22,FALSE)&lt;0),"Absetzen von","")</f>
        <v/>
      </c>
      <c r="K241" s="263"/>
      <c r="M241" s="316" t="str">
        <f ca="1">IF(VLOOKUP(B241,Mai!B:AZ,22,FALSE)&lt;&gt;0,VLOOKUP(B241,Mai!B:AZ,22,FALSE),"")</f>
        <v/>
      </c>
      <c r="N241" s="327"/>
    </row>
    <row r="242" spans="2:14" x14ac:dyDescent="0.25">
      <c r="B242" s="245">
        <f>Mai!F28</f>
        <v>42144</v>
      </c>
      <c r="C242" s="35">
        <f t="shared" si="3"/>
        <v>42144</v>
      </c>
      <c r="D242" s="17" t="str">
        <f>IF(AND(VLOOKUP(B242,Mai!B:AZ,8,FALSE)&gt;0,VLOOKUP(B242,Mai!B:AZ,6,FALSE)=""), CONCATENATE(TEXT(VLOOKUP(B242,Mai!B:AZ,7,FALSE),"hh:mm"), "-", TEXT(VLOOKUP(B242,Mai!B:AZ,8,FALSE),"[hh]:mm")," Uhr ", IF(VLOOKUP(B242,Mai!B:AZ,12,FALSE)&gt;0, CONCATENATE("und ",TEXT(VLOOKUP(B242,Mai!B:AZ,12,FALSE),"hh:mm"), "-", TEXT(VLOOKUP(B242,Mai!B:AZ,13,FALSE),"[hh]:mm")," Uhr "),"")), IF(VLOOKUP(B242,Mai!B:AZ,6,FALSE)="","",VLOOKUP(VLOOKUP(B242,Mai!B:AZ,6,FALSE),Legende_Code,2,FALSE)))</f>
        <v/>
      </c>
      <c r="E242" s="16" t="str">
        <f>IF(AND(VLOOKUP(B242,Mai!B:AZ,6,FALSE)="", WEEKDAY(B242,2)=6,VLOOKUP(B242,Mai!B:AZ,48,FALSE)&gt;0),VLOOKUP(B242,Mai!B:AZ,48,FALSE)*24,"")</f>
        <v/>
      </c>
      <c r="F242" s="16" t="str">
        <f>IF(AND(VLOOKUP(B242,Mai!B:AZ,6,FALSE)="", WEEKDAY(B242,2)=7,VLOOKUP(B242,Mai!B:AZ,49,FALSE)&gt;0),VLOOKUP(B242,Mai!B:AZ,49,FALSE)*24,"")</f>
        <v/>
      </c>
      <c r="G242" s="16" t="str">
        <f>IF(AND(VLOOKUP(B242,Mai!B:AZ,6,FALSE)="",VLOOKUP(B242,Mai!B:AZ,46,FALSE)&gt;0),VLOOKUP(B242,Mai!B:AZ,46,FALSE)*24,"")</f>
        <v/>
      </c>
      <c r="H242" s="36" t="str">
        <f>IF(AND(VLOOKUP(B242,Mai!B:AZ,6,FALSE)="",VLOOKUP(B242,Mai!B:AZ,50,FALSE)&gt;0),VLOOKUP(B242,Mai!B:AZ,50,FALSE)*24,"")</f>
        <v/>
      </c>
      <c r="I242" s="30" t="str">
        <f>IF(AND(NETWORKDAYS(B242,B242,Feiertage)=1,VLOOKUP(B242,Mai!B:AZ,6,FALSE)="U"),"Urlaub","")</f>
        <v/>
      </c>
      <c r="J242" s="34" t="str">
        <f ca="1">IF(AND(VLOOKUP(B242,Mai!B:AZ,6,FALSE)="",VLOOKUP(B242,Mai!B:AZ,22,FALSE)&lt;0),"Absetzen von","")</f>
        <v/>
      </c>
      <c r="K242" s="263"/>
      <c r="M242" s="316" t="str">
        <f ca="1">IF(VLOOKUP(B242,Mai!B:AZ,22,FALSE)&lt;&gt;0,VLOOKUP(B242,Mai!B:AZ,22,FALSE),"")</f>
        <v/>
      </c>
      <c r="N242" s="327"/>
    </row>
    <row r="243" spans="2:14" x14ac:dyDescent="0.25">
      <c r="B243" s="245">
        <f>Mai!F29</f>
        <v>42145</v>
      </c>
      <c r="C243" s="35">
        <f t="shared" si="3"/>
        <v>42145</v>
      </c>
      <c r="D243" s="17" t="str">
        <f>IF(AND(VLOOKUP(B243,Mai!B:AZ,8,FALSE)&gt;0,VLOOKUP(B243,Mai!B:AZ,6,FALSE)=""), CONCATENATE(TEXT(VLOOKUP(B243,Mai!B:AZ,7,FALSE),"hh:mm"), "-", TEXT(VLOOKUP(B243,Mai!B:AZ,8,FALSE),"[hh]:mm")," Uhr ", IF(VLOOKUP(B243,Mai!B:AZ,12,FALSE)&gt;0, CONCATENATE("und ",TEXT(VLOOKUP(B243,Mai!B:AZ,12,FALSE),"hh:mm"), "-", TEXT(VLOOKUP(B243,Mai!B:AZ,13,FALSE),"[hh]:mm")," Uhr "),"")), IF(VLOOKUP(B243,Mai!B:AZ,6,FALSE)="","",VLOOKUP(VLOOKUP(B243,Mai!B:AZ,6,FALSE),Legende_Code,2,FALSE)))</f>
        <v/>
      </c>
      <c r="E243" s="16" t="str">
        <f>IF(AND(VLOOKUP(B243,Mai!B:AZ,6,FALSE)="", WEEKDAY(B243,2)=6,VLOOKUP(B243,Mai!B:AZ,48,FALSE)&gt;0),VLOOKUP(B243,Mai!B:AZ,48,FALSE)*24,"")</f>
        <v/>
      </c>
      <c r="F243" s="16" t="str">
        <f>IF(AND(VLOOKUP(B243,Mai!B:AZ,6,FALSE)="", WEEKDAY(B243,2)=7,VLOOKUP(B243,Mai!B:AZ,49,FALSE)&gt;0),VLOOKUP(B243,Mai!B:AZ,49,FALSE)*24,"")</f>
        <v/>
      </c>
      <c r="G243" s="16" t="str">
        <f>IF(AND(VLOOKUP(B243,Mai!B:AZ,6,FALSE)="",VLOOKUP(B243,Mai!B:AZ,46,FALSE)&gt;0),VLOOKUP(B243,Mai!B:AZ,46,FALSE)*24,"")</f>
        <v/>
      </c>
      <c r="H243" s="36" t="str">
        <f>IF(AND(VLOOKUP(B243,Mai!B:AZ,6,FALSE)="",VLOOKUP(B243,Mai!B:AZ,50,FALSE)&gt;0),VLOOKUP(B243,Mai!B:AZ,50,FALSE)*24,"")</f>
        <v/>
      </c>
      <c r="I243" s="30" t="str">
        <f>IF(AND(NETWORKDAYS(B243,B243,Feiertage)=1,VLOOKUP(B243,Mai!B:AZ,6,FALSE)="U"),"Urlaub","")</f>
        <v/>
      </c>
      <c r="J243" s="34" t="str">
        <f ca="1">IF(AND(VLOOKUP(B243,Mai!B:AZ,6,FALSE)="",VLOOKUP(B243,Mai!B:AZ,22,FALSE)&lt;0),"Absetzen von","")</f>
        <v/>
      </c>
      <c r="K243" s="263"/>
      <c r="M243" s="316" t="str">
        <f ca="1">IF(VLOOKUP(B243,Mai!B:AZ,22,FALSE)&lt;&gt;0,VLOOKUP(B243,Mai!B:AZ,22,FALSE),"")</f>
        <v/>
      </c>
      <c r="N243" s="327"/>
    </row>
    <row r="244" spans="2:14" x14ac:dyDescent="0.25">
      <c r="B244" s="245">
        <f>Mai!F30</f>
        <v>42146</v>
      </c>
      <c r="C244" s="35">
        <f t="shared" si="3"/>
        <v>42146</v>
      </c>
      <c r="D244" s="17" t="str">
        <f>IF(AND(VLOOKUP(B244,Mai!B:AZ,8,FALSE)&gt;0,VLOOKUP(B244,Mai!B:AZ,6,FALSE)=""), CONCATENATE(TEXT(VLOOKUP(B244,Mai!B:AZ,7,FALSE),"hh:mm"), "-", TEXT(VLOOKUP(B244,Mai!B:AZ,8,FALSE),"[hh]:mm")," Uhr ", IF(VLOOKUP(B244,Mai!B:AZ,12,FALSE)&gt;0, CONCATENATE("und ",TEXT(VLOOKUP(B244,Mai!B:AZ,12,FALSE),"hh:mm"), "-", TEXT(VLOOKUP(B244,Mai!B:AZ,13,FALSE),"[hh]:mm")," Uhr "),"")), IF(VLOOKUP(B244,Mai!B:AZ,6,FALSE)="","",VLOOKUP(VLOOKUP(B244,Mai!B:AZ,6,FALSE),Legende_Code,2,FALSE)))</f>
        <v/>
      </c>
      <c r="E244" s="16" t="str">
        <f>IF(AND(VLOOKUP(B244,Mai!B:AZ,6,FALSE)="", WEEKDAY(B244,2)=6,VLOOKUP(B244,Mai!B:AZ,48,FALSE)&gt;0),VLOOKUP(B244,Mai!B:AZ,48,FALSE)*24,"")</f>
        <v/>
      </c>
      <c r="F244" s="16" t="str">
        <f>IF(AND(VLOOKUP(B244,Mai!B:AZ,6,FALSE)="", WEEKDAY(B244,2)=7,VLOOKUP(B244,Mai!B:AZ,49,FALSE)&gt;0),VLOOKUP(B244,Mai!B:AZ,49,FALSE)*24,"")</f>
        <v/>
      </c>
      <c r="G244" s="16" t="str">
        <f>IF(AND(VLOOKUP(B244,Mai!B:AZ,6,FALSE)="",VLOOKUP(B244,Mai!B:AZ,46,FALSE)&gt;0),VLOOKUP(B244,Mai!B:AZ,46,FALSE)*24,"")</f>
        <v/>
      </c>
      <c r="H244" s="36" t="str">
        <f>IF(AND(VLOOKUP(B244,Mai!B:AZ,6,FALSE)="",VLOOKUP(B244,Mai!B:AZ,50,FALSE)&gt;0),VLOOKUP(B244,Mai!B:AZ,50,FALSE)*24,"")</f>
        <v/>
      </c>
      <c r="I244" s="30" t="str">
        <f>IF(AND(NETWORKDAYS(B244,B244,Feiertage)=1,VLOOKUP(B244,Mai!B:AZ,6,FALSE)="U"),"Urlaub","")</f>
        <v/>
      </c>
      <c r="J244" s="34" t="str">
        <f ca="1">IF(AND(VLOOKUP(B244,Mai!B:AZ,6,FALSE)="",VLOOKUP(B244,Mai!B:AZ,22,FALSE)&lt;0),"Absetzen von","")</f>
        <v/>
      </c>
      <c r="K244" s="263"/>
      <c r="M244" s="316" t="str">
        <f ca="1">IF(VLOOKUP(B244,Mai!B:AZ,22,FALSE)&lt;&gt;0,VLOOKUP(B244,Mai!B:AZ,22,FALSE),"")</f>
        <v/>
      </c>
      <c r="N244" s="327"/>
    </row>
    <row r="245" spans="2:14" x14ac:dyDescent="0.25">
      <c r="B245" s="245">
        <f>Mai!F31</f>
        <v>42147</v>
      </c>
      <c r="C245" s="35">
        <f t="shared" si="3"/>
        <v>42147</v>
      </c>
      <c r="D245" s="17" t="str">
        <f>IF(AND(VLOOKUP(B245,Mai!B:AZ,8,FALSE)&gt;0,VLOOKUP(B245,Mai!B:AZ,6,FALSE)=""), CONCATENATE(TEXT(VLOOKUP(B245,Mai!B:AZ,7,FALSE),"hh:mm"), "-", TEXT(VLOOKUP(B245,Mai!B:AZ,8,FALSE),"[hh]:mm")," Uhr ", IF(VLOOKUP(B245,Mai!B:AZ,12,FALSE)&gt;0, CONCATENATE("und ",TEXT(VLOOKUP(B245,Mai!B:AZ,12,FALSE),"hh:mm"), "-", TEXT(VLOOKUP(B245,Mai!B:AZ,13,FALSE),"[hh]:mm")," Uhr "),"")), IF(VLOOKUP(B245,Mai!B:AZ,6,FALSE)="","",VLOOKUP(VLOOKUP(B245,Mai!B:AZ,6,FALSE),Legende_Code,2,FALSE)))</f>
        <v/>
      </c>
      <c r="E245" s="16" t="str">
        <f>IF(AND(VLOOKUP(B245,Mai!B:AZ,6,FALSE)="", WEEKDAY(B245,2)=6,VLOOKUP(B245,Mai!B:AZ,48,FALSE)&gt;0),VLOOKUP(B245,Mai!B:AZ,48,FALSE)*24,"")</f>
        <v/>
      </c>
      <c r="F245" s="16" t="str">
        <f>IF(AND(VLOOKUP(B245,Mai!B:AZ,6,FALSE)="", WEEKDAY(B245,2)=7,VLOOKUP(B245,Mai!B:AZ,49,FALSE)&gt;0),VLOOKUP(B245,Mai!B:AZ,49,FALSE)*24,"")</f>
        <v/>
      </c>
      <c r="G245" s="16" t="str">
        <f>IF(AND(VLOOKUP(B245,Mai!B:AZ,6,FALSE)="",VLOOKUP(B245,Mai!B:AZ,46,FALSE)&gt;0),VLOOKUP(B245,Mai!B:AZ,46,FALSE)*24,"")</f>
        <v/>
      </c>
      <c r="H245" s="36" t="str">
        <f>IF(AND(VLOOKUP(B245,Mai!B:AZ,6,FALSE)="",VLOOKUP(B245,Mai!B:AZ,50,FALSE)&gt;0),VLOOKUP(B245,Mai!B:AZ,50,FALSE)*24,"")</f>
        <v/>
      </c>
      <c r="I245" s="30" t="str">
        <f>IF(AND(NETWORKDAYS(B245,B245,Feiertage)=1,VLOOKUP(B245,Mai!B:AZ,6,FALSE)="U"),"Urlaub","")</f>
        <v/>
      </c>
      <c r="J245" s="34" t="str">
        <f ca="1">IF(AND(VLOOKUP(B245,Mai!B:AZ,6,FALSE)="",VLOOKUP(B245,Mai!B:AZ,22,FALSE)&lt;0),"Absetzen von","")</f>
        <v/>
      </c>
      <c r="K245" s="263"/>
      <c r="M245" s="316" t="str">
        <f ca="1">IF(VLOOKUP(B245,Mai!B:AZ,22,FALSE)&lt;&gt;0,VLOOKUP(B245,Mai!B:AZ,22,FALSE),"")</f>
        <v/>
      </c>
      <c r="N245" s="327"/>
    </row>
    <row r="246" spans="2:14" x14ac:dyDescent="0.25">
      <c r="B246" s="245">
        <f>Mai!F32</f>
        <v>42148</v>
      </c>
      <c r="C246" s="35">
        <f t="shared" si="3"/>
        <v>42148</v>
      </c>
      <c r="D246" s="17" t="str">
        <f>IF(AND(VLOOKUP(B246,Mai!B:AZ,8,FALSE)&gt;0,VLOOKUP(B246,Mai!B:AZ,6,FALSE)=""), CONCATENATE(TEXT(VLOOKUP(B246,Mai!B:AZ,7,FALSE),"hh:mm"), "-", TEXT(VLOOKUP(B246,Mai!B:AZ,8,FALSE),"[hh]:mm")," Uhr ", IF(VLOOKUP(B246,Mai!B:AZ,12,FALSE)&gt;0, CONCATENATE("und ",TEXT(VLOOKUP(B246,Mai!B:AZ,12,FALSE),"hh:mm"), "-", TEXT(VLOOKUP(B246,Mai!B:AZ,13,FALSE),"[hh]:mm")," Uhr "),"")), IF(VLOOKUP(B246,Mai!B:AZ,6,FALSE)="","",VLOOKUP(VLOOKUP(B246,Mai!B:AZ,6,FALSE),Legende_Code,2,FALSE)))</f>
        <v/>
      </c>
      <c r="E246" s="16" t="str">
        <f>IF(AND(VLOOKUP(B246,Mai!B:AZ,6,FALSE)="", WEEKDAY(B246,2)=6,VLOOKUP(B246,Mai!B:AZ,48,FALSE)&gt;0),VLOOKUP(B246,Mai!B:AZ,48,FALSE)*24,"")</f>
        <v/>
      </c>
      <c r="F246" s="16" t="str">
        <f>IF(AND(VLOOKUP(B246,Mai!B:AZ,6,FALSE)="", WEEKDAY(B246,2)=7,VLOOKUP(B246,Mai!B:AZ,49,FALSE)&gt;0),VLOOKUP(B246,Mai!B:AZ,49,FALSE)*24,"")</f>
        <v/>
      </c>
      <c r="G246" s="16" t="str">
        <f>IF(AND(VLOOKUP(B246,Mai!B:AZ,6,FALSE)="",VLOOKUP(B246,Mai!B:AZ,46,FALSE)&gt;0),VLOOKUP(B246,Mai!B:AZ,46,FALSE)*24,"")</f>
        <v/>
      </c>
      <c r="H246" s="36" t="str">
        <f>IF(AND(VLOOKUP(B246,Mai!B:AZ,6,FALSE)="",VLOOKUP(B246,Mai!B:AZ,50,FALSE)&gt;0),VLOOKUP(B246,Mai!B:AZ,50,FALSE)*24,"")</f>
        <v/>
      </c>
      <c r="I246" s="30" t="str">
        <f>IF(AND(NETWORKDAYS(B246,B246,Feiertage)=1,VLOOKUP(B246,Mai!B:AZ,6,FALSE)="U"),"Urlaub","")</f>
        <v/>
      </c>
      <c r="J246" s="34" t="str">
        <f ca="1">IF(AND(VLOOKUP(B246,Mai!B:AZ,6,FALSE)="",VLOOKUP(B246,Mai!B:AZ,22,FALSE)&lt;0),"Absetzen von","")</f>
        <v/>
      </c>
      <c r="K246" s="263"/>
      <c r="M246" s="316" t="str">
        <f ca="1">IF(VLOOKUP(B246,Mai!B:AZ,22,FALSE)&lt;&gt;0,VLOOKUP(B246,Mai!B:AZ,22,FALSE),"")</f>
        <v/>
      </c>
      <c r="N246" s="327"/>
    </row>
    <row r="247" spans="2:14" x14ac:dyDescent="0.25">
      <c r="B247" s="245">
        <f>Mai!F33</f>
        <v>42149</v>
      </c>
      <c r="C247" s="35">
        <f t="shared" si="3"/>
        <v>42149</v>
      </c>
      <c r="D247" s="17" t="str">
        <f>IF(AND(VLOOKUP(B247,Mai!B:AZ,8,FALSE)&gt;0,VLOOKUP(B247,Mai!B:AZ,6,FALSE)=""), CONCATENATE(TEXT(VLOOKUP(B247,Mai!B:AZ,7,FALSE),"hh:mm"), "-", TEXT(VLOOKUP(B247,Mai!B:AZ,8,FALSE),"[hh]:mm")," Uhr ", IF(VLOOKUP(B247,Mai!B:AZ,12,FALSE)&gt;0, CONCATENATE("und ",TEXT(VLOOKUP(B247,Mai!B:AZ,12,FALSE),"hh:mm"), "-", TEXT(VLOOKUP(B247,Mai!B:AZ,13,FALSE),"[hh]:mm")," Uhr "),"")), IF(VLOOKUP(B247,Mai!B:AZ,6,FALSE)="","",VLOOKUP(VLOOKUP(B247,Mai!B:AZ,6,FALSE),Legende_Code,2,FALSE)))</f>
        <v/>
      </c>
      <c r="E247" s="16" t="str">
        <f>IF(AND(VLOOKUP(B247,Mai!B:AZ,6,FALSE)="", WEEKDAY(B247,2)=6,VLOOKUP(B247,Mai!B:AZ,48,FALSE)&gt;0),VLOOKUP(B247,Mai!B:AZ,48,FALSE)*24,"")</f>
        <v/>
      </c>
      <c r="F247" s="16" t="str">
        <f>IF(AND(VLOOKUP(B247,Mai!B:AZ,6,FALSE)="", WEEKDAY(B247,2)=7,VLOOKUP(B247,Mai!B:AZ,49,FALSE)&gt;0),VLOOKUP(B247,Mai!B:AZ,49,FALSE)*24,"")</f>
        <v/>
      </c>
      <c r="G247" s="16" t="str">
        <f>IF(AND(VLOOKUP(B247,Mai!B:AZ,6,FALSE)="",VLOOKUP(B247,Mai!B:AZ,46,FALSE)&gt;0),VLOOKUP(B247,Mai!B:AZ,46,FALSE)*24,"")</f>
        <v/>
      </c>
      <c r="H247" s="36" t="str">
        <f>IF(AND(VLOOKUP(B247,Mai!B:AZ,6,FALSE)="",VLOOKUP(B247,Mai!B:AZ,50,FALSE)&gt;0),VLOOKUP(B247,Mai!B:AZ,50,FALSE)*24,"")</f>
        <v/>
      </c>
      <c r="I247" s="30" t="str">
        <f>IF(AND(NETWORKDAYS(B247,B247,Feiertage)=1,VLOOKUP(B247,Mai!B:AZ,6,FALSE)="U"),"Urlaub","")</f>
        <v/>
      </c>
      <c r="J247" s="34" t="str">
        <f ca="1">IF(AND(VLOOKUP(B247,Mai!B:AZ,6,FALSE)="",VLOOKUP(B247,Mai!B:AZ,22,FALSE)&lt;0),"Absetzen von","")</f>
        <v/>
      </c>
      <c r="K247" s="263"/>
      <c r="M247" s="316" t="str">
        <f ca="1">IF(VLOOKUP(B247,Mai!B:AZ,22,FALSE)&lt;&gt;0,VLOOKUP(B247,Mai!B:AZ,22,FALSE),"")</f>
        <v/>
      </c>
      <c r="N247" s="327"/>
    </row>
    <row r="248" spans="2:14" x14ac:dyDescent="0.25">
      <c r="B248" s="245">
        <f>Mai!F34</f>
        <v>42150</v>
      </c>
      <c r="C248" s="35">
        <f t="shared" si="3"/>
        <v>42150</v>
      </c>
      <c r="D248" s="17" t="str">
        <f>IF(AND(VLOOKUP(B248,Mai!B:AZ,8,FALSE)&gt;0,VLOOKUP(B248,Mai!B:AZ,6,FALSE)=""), CONCATENATE(TEXT(VLOOKUP(B248,Mai!B:AZ,7,FALSE),"hh:mm"), "-", TEXT(VLOOKUP(B248,Mai!B:AZ,8,FALSE),"[hh]:mm")," Uhr ", IF(VLOOKUP(B248,Mai!B:AZ,12,FALSE)&gt;0, CONCATENATE("und ",TEXT(VLOOKUP(B248,Mai!B:AZ,12,FALSE),"hh:mm"), "-", TEXT(VLOOKUP(B248,Mai!B:AZ,13,FALSE),"[hh]:mm")," Uhr "),"")), IF(VLOOKUP(B248,Mai!B:AZ,6,FALSE)="","",VLOOKUP(VLOOKUP(B248,Mai!B:AZ,6,FALSE),Legende_Code,2,FALSE)))</f>
        <v/>
      </c>
      <c r="E248" s="16" t="str">
        <f>IF(AND(VLOOKUP(B248,Mai!B:AZ,6,FALSE)="", WEEKDAY(B248,2)=6,VLOOKUP(B248,Mai!B:AZ,48,FALSE)&gt;0),VLOOKUP(B248,Mai!B:AZ,48,FALSE)*24,"")</f>
        <v/>
      </c>
      <c r="F248" s="16" t="str">
        <f>IF(AND(VLOOKUP(B248,Mai!B:AZ,6,FALSE)="", WEEKDAY(B248,2)=7,VLOOKUP(B248,Mai!B:AZ,49,FALSE)&gt;0),VLOOKUP(B248,Mai!B:AZ,49,FALSE)*24,"")</f>
        <v/>
      </c>
      <c r="G248" s="16" t="str">
        <f>IF(AND(VLOOKUP(B248,Mai!B:AZ,6,FALSE)="",VLOOKUP(B248,Mai!B:AZ,46,FALSE)&gt;0),VLOOKUP(B248,Mai!B:AZ,46,FALSE)*24,"")</f>
        <v/>
      </c>
      <c r="H248" s="36" t="str">
        <f>IF(AND(VLOOKUP(B248,Mai!B:AZ,6,FALSE)="",VLOOKUP(B248,Mai!B:AZ,50,FALSE)&gt;0),VLOOKUP(B248,Mai!B:AZ,50,FALSE)*24,"")</f>
        <v/>
      </c>
      <c r="I248" s="30" t="str">
        <f>IF(AND(NETWORKDAYS(B248,B248,Feiertage)=1,VLOOKUP(B248,Mai!B:AZ,6,FALSE)="U"),"Urlaub","")</f>
        <v/>
      </c>
      <c r="J248" s="34" t="str">
        <f ca="1">IF(AND(VLOOKUP(B248,Mai!B:AZ,6,FALSE)="",VLOOKUP(B248,Mai!B:AZ,22,FALSE)&lt;0),"Absetzen von","")</f>
        <v/>
      </c>
      <c r="K248" s="263"/>
      <c r="M248" s="316" t="str">
        <f ca="1">IF(VLOOKUP(B248,Mai!B:AZ,22,FALSE)&lt;&gt;0,VLOOKUP(B248,Mai!B:AZ,22,FALSE),"")</f>
        <v/>
      </c>
      <c r="N248" s="327"/>
    </row>
    <row r="249" spans="2:14" x14ac:dyDescent="0.25">
      <c r="B249" s="245">
        <f>Mai!F35</f>
        <v>42151</v>
      </c>
      <c r="C249" s="35">
        <f t="shared" si="3"/>
        <v>42151</v>
      </c>
      <c r="D249" s="17" t="str">
        <f>IF(AND(VLOOKUP(B249,Mai!B:AZ,8,FALSE)&gt;0,VLOOKUP(B249,Mai!B:AZ,6,FALSE)=""), CONCATENATE(TEXT(VLOOKUP(B249,Mai!B:AZ,7,FALSE),"hh:mm"), "-", TEXT(VLOOKUP(B249,Mai!B:AZ,8,FALSE),"[hh]:mm")," Uhr ", IF(VLOOKUP(B249,Mai!B:AZ,12,FALSE)&gt;0, CONCATENATE("und ",TEXT(VLOOKUP(B249,Mai!B:AZ,12,FALSE),"hh:mm"), "-", TEXT(VLOOKUP(B249,Mai!B:AZ,13,FALSE),"[hh]:mm")," Uhr "),"")), IF(VLOOKUP(B249,Mai!B:AZ,6,FALSE)="","",VLOOKUP(VLOOKUP(B249,Mai!B:AZ,6,FALSE),Legende_Code,2,FALSE)))</f>
        <v/>
      </c>
      <c r="E249" s="16" t="str">
        <f>IF(AND(VLOOKUP(B249,Mai!B:AZ,6,FALSE)="", WEEKDAY(B249,2)=6,VLOOKUP(B249,Mai!B:AZ,48,FALSE)&gt;0),VLOOKUP(B249,Mai!B:AZ,48,FALSE)*24,"")</f>
        <v/>
      </c>
      <c r="F249" s="16" t="str">
        <f>IF(AND(VLOOKUP(B249,Mai!B:AZ,6,FALSE)="", WEEKDAY(B249,2)=7,VLOOKUP(B249,Mai!B:AZ,49,FALSE)&gt;0),VLOOKUP(B249,Mai!B:AZ,49,FALSE)*24,"")</f>
        <v/>
      </c>
      <c r="G249" s="16" t="str">
        <f>IF(AND(VLOOKUP(B249,Mai!B:AZ,6,FALSE)="",VLOOKUP(B249,Mai!B:AZ,46,FALSE)&gt;0),VLOOKUP(B249,Mai!B:AZ,46,FALSE)*24,"")</f>
        <v/>
      </c>
      <c r="H249" s="36" t="str">
        <f>IF(AND(VLOOKUP(B249,Mai!B:AZ,6,FALSE)="",VLOOKUP(B249,Mai!B:AZ,50,FALSE)&gt;0),VLOOKUP(B249,Mai!B:AZ,50,FALSE)*24,"")</f>
        <v/>
      </c>
      <c r="I249" s="30" t="str">
        <f>IF(AND(NETWORKDAYS(B249,B249,Feiertage)=1,VLOOKUP(B249,Mai!B:AZ,6,FALSE)="U"),"Urlaub","")</f>
        <v/>
      </c>
      <c r="J249" s="34" t="str">
        <f ca="1">IF(AND(VLOOKUP(B249,Mai!B:AZ,6,FALSE)="",VLOOKUP(B249,Mai!B:AZ,22,FALSE)&lt;0),"Absetzen von","")</f>
        <v/>
      </c>
      <c r="K249" s="263"/>
      <c r="M249" s="316" t="str">
        <f ca="1">IF(VLOOKUP(B249,Mai!B:AZ,22,FALSE)&lt;&gt;0,VLOOKUP(B249,Mai!B:AZ,22,FALSE),"")</f>
        <v/>
      </c>
      <c r="N249" s="327"/>
    </row>
    <row r="250" spans="2:14" x14ac:dyDescent="0.25">
      <c r="B250" s="245">
        <f>Mai!F36</f>
        <v>42152</v>
      </c>
      <c r="C250" s="35">
        <f t="shared" si="3"/>
        <v>42152</v>
      </c>
      <c r="D250" s="17" t="str">
        <f>IF(AND(VLOOKUP(B250,Mai!B:AZ,8,FALSE)&gt;0,VLOOKUP(B250,Mai!B:AZ,6,FALSE)=""), CONCATENATE(TEXT(VLOOKUP(B250,Mai!B:AZ,7,FALSE),"hh:mm"), "-", TEXT(VLOOKUP(B250,Mai!B:AZ,8,FALSE),"[hh]:mm")," Uhr ", IF(VLOOKUP(B250,Mai!B:AZ,12,FALSE)&gt;0, CONCATENATE("und ",TEXT(VLOOKUP(B250,Mai!B:AZ,12,FALSE),"hh:mm"), "-", TEXT(VLOOKUP(B250,Mai!B:AZ,13,FALSE),"[hh]:mm")," Uhr "),"")), IF(VLOOKUP(B250,Mai!B:AZ,6,FALSE)="","",VLOOKUP(VLOOKUP(B250,Mai!B:AZ,6,FALSE),Legende_Code,2,FALSE)))</f>
        <v/>
      </c>
      <c r="E250" s="16" t="str">
        <f>IF(AND(VLOOKUP(B250,Mai!B:AZ,6,FALSE)="", WEEKDAY(B250,2)=6,VLOOKUP(B250,Mai!B:AZ,48,FALSE)&gt;0),VLOOKUP(B250,Mai!B:AZ,48,FALSE)*24,"")</f>
        <v/>
      </c>
      <c r="F250" s="16" t="str">
        <f>IF(AND(VLOOKUP(B250,Mai!B:AZ,6,FALSE)="", WEEKDAY(B250,2)=7,VLOOKUP(B250,Mai!B:AZ,49,FALSE)&gt;0),VLOOKUP(B250,Mai!B:AZ,49,FALSE)*24,"")</f>
        <v/>
      </c>
      <c r="G250" s="16" t="str">
        <f>IF(AND(VLOOKUP(B250,Mai!B:AZ,6,FALSE)="",VLOOKUP(B250,Mai!B:AZ,46,FALSE)&gt;0),VLOOKUP(B250,Mai!B:AZ,46,FALSE)*24,"")</f>
        <v/>
      </c>
      <c r="H250" s="36" t="str">
        <f>IF(AND(VLOOKUP(B250,Mai!B:AZ,6,FALSE)="",VLOOKUP(B250,Mai!B:AZ,50,FALSE)&gt;0),VLOOKUP(B250,Mai!B:AZ,50,FALSE)*24,"")</f>
        <v/>
      </c>
      <c r="I250" s="30" t="str">
        <f>IF(AND(NETWORKDAYS(B250,B250,Feiertage)=1,VLOOKUP(B250,Mai!B:AZ,6,FALSE)="U"),"Urlaub","")</f>
        <v/>
      </c>
      <c r="J250" s="34" t="str">
        <f ca="1">IF(AND(VLOOKUP(B250,Mai!B:AZ,6,FALSE)="",VLOOKUP(B250,Mai!B:AZ,22,FALSE)&lt;0),"Absetzen von","")</f>
        <v/>
      </c>
      <c r="K250" s="263"/>
      <c r="M250" s="316" t="str">
        <f ca="1">IF(VLOOKUP(B250,Mai!B:AZ,22,FALSE)&lt;&gt;0,VLOOKUP(B250,Mai!B:AZ,22,FALSE),"")</f>
        <v/>
      </c>
      <c r="N250" s="327"/>
    </row>
    <row r="251" spans="2:14" x14ac:dyDescent="0.25">
      <c r="B251" s="245">
        <f>Mai!F37</f>
        <v>42153</v>
      </c>
      <c r="C251" s="35">
        <f t="shared" si="3"/>
        <v>42153</v>
      </c>
      <c r="D251" s="17" t="str">
        <f>IF(AND(VLOOKUP(B251,Mai!B:AZ,8,FALSE)&gt;0,VLOOKUP(B251,Mai!B:AZ,6,FALSE)=""), CONCATENATE(TEXT(VLOOKUP(B251,Mai!B:AZ,7,FALSE),"hh:mm"), "-", TEXT(VLOOKUP(B251,Mai!B:AZ,8,FALSE),"[hh]:mm")," Uhr ", IF(VLOOKUP(B251,Mai!B:AZ,12,FALSE)&gt;0, CONCATENATE("und ",TEXT(VLOOKUP(B251,Mai!B:AZ,12,FALSE),"hh:mm"), "-", TEXT(VLOOKUP(B251,Mai!B:AZ,13,FALSE),"[hh]:mm")," Uhr "),"")), IF(VLOOKUP(B251,Mai!B:AZ,6,FALSE)="","",VLOOKUP(VLOOKUP(B251,Mai!B:AZ,6,FALSE),Legende_Code,2,FALSE)))</f>
        <v/>
      </c>
      <c r="E251" s="16" t="str">
        <f>IF(AND(VLOOKUP(B251,Mai!B:AZ,6,FALSE)="", WEEKDAY(B251,2)=6,VLOOKUP(B251,Mai!B:AZ,48,FALSE)&gt;0),VLOOKUP(B251,Mai!B:AZ,48,FALSE)*24,"")</f>
        <v/>
      </c>
      <c r="F251" s="16" t="str">
        <f>IF(AND(VLOOKUP(B251,Mai!B:AZ,6,FALSE)="", WEEKDAY(B251,2)=7,VLOOKUP(B251,Mai!B:AZ,49,FALSE)&gt;0),VLOOKUP(B251,Mai!B:AZ,49,FALSE)*24,"")</f>
        <v/>
      </c>
      <c r="G251" s="16" t="str">
        <f>IF(AND(VLOOKUP(B251,Mai!B:AZ,6,FALSE)="",VLOOKUP(B251,Mai!B:AZ,46,FALSE)&gt;0),VLOOKUP(B251,Mai!B:AZ,46,FALSE)*24,"")</f>
        <v/>
      </c>
      <c r="H251" s="36" t="str">
        <f>IF(AND(VLOOKUP(B251,Mai!B:AZ,6,FALSE)="",VLOOKUP(B251,Mai!B:AZ,50,FALSE)&gt;0),VLOOKUP(B251,Mai!B:AZ,50,FALSE)*24,"")</f>
        <v/>
      </c>
      <c r="I251" s="30" t="str">
        <f>IF(AND(NETWORKDAYS(B251,B251,Feiertage)=1,VLOOKUP(B251,Mai!B:AZ,6,FALSE)="U"),"Urlaub","")</f>
        <v/>
      </c>
      <c r="J251" s="34" t="str">
        <f>IF(AND(VLOOKUP(B251,Mai!B:AZ,6,FALSE)="",VLOOKUP(B251,Mai!B:AZ,22,FALSE)&lt;0),"Absetzen von","")</f>
        <v/>
      </c>
      <c r="K251" s="263"/>
      <c r="M251" s="316" t="str">
        <f>IF(VLOOKUP(B251,Mai!B:AZ,22,FALSE)&lt;&gt;0,VLOOKUP(B251,Mai!B:AZ,22,FALSE),"")</f>
        <v/>
      </c>
      <c r="N251" s="327"/>
    </row>
    <row r="252" spans="2:14" ht="15.75" thickBot="1" x14ac:dyDescent="0.3">
      <c r="B252" s="245">
        <f>Mai!F38</f>
        <v>42154</v>
      </c>
      <c r="C252" s="35">
        <f t="shared" si="3"/>
        <v>42154</v>
      </c>
      <c r="D252" s="17" t="str">
        <f>IF(AND(VLOOKUP(B252,Mai!B:AZ,8,FALSE)&gt;0,VLOOKUP(B252,Mai!B:AZ,6,FALSE)=""), CONCATENATE(TEXT(VLOOKUP(B252,Mai!B:AZ,7,FALSE),"hh:mm"), "-", TEXT(VLOOKUP(B252,Mai!B:AZ,8,FALSE),"[hh]:mm")," Uhr ", IF(VLOOKUP(B252,Mai!B:AZ,12,FALSE)&gt;0, CONCATENATE("und ",TEXT(VLOOKUP(B252,Mai!B:AZ,12,FALSE),"hh:mm"), "-", TEXT(VLOOKUP(B252,Mai!B:AZ,13,FALSE),"[hh]:mm")," Uhr "),"")), IF(VLOOKUP(B252,Mai!B:AZ,6,FALSE)="","",VLOOKUP(VLOOKUP(B252,Mai!B:AZ,6,FALSE),Legende_Code,2,FALSE)))</f>
        <v/>
      </c>
      <c r="E252" s="16" t="str">
        <f>IF(AND(VLOOKUP(B252,Mai!B:AZ,6,FALSE)="", WEEKDAY(B252,2)=6,VLOOKUP(B252,Mai!B:AZ,48,FALSE)&gt;0),VLOOKUP(B252,Mai!B:AZ,48,FALSE)*24,"")</f>
        <v/>
      </c>
      <c r="F252" s="16" t="str">
        <f>IF(AND(VLOOKUP(B252,Mai!B:AZ,6,FALSE)="", WEEKDAY(B252,2)=7,VLOOKUP(B252,Mai!B:AZ,49,FALSE)&gt;0),VLOOKUP(B252,Mai!B:AZ,49,FALSE)*24,"")</f>
        <v/>
      </c>
      <c r="G252" s="16" t="str">
        <f>IF(AND(VLOOKUP(B252,Mai!B:AZ,6,FALSE)="",VLOOKUP(B252,Mai!B:AZ,46,FALSE)&gt;0),VLOOKUP(B252,Mai!B:AZ,46,FALSE)*24,"")</f>
        <v/>
      </c>
      <c r="H252" s="36" t="str">
        <f>IF(AND(VLOOKUP(B252,Mai!B:AZ,6,FALSE)="",VLOOKUP(B252,Mai!B:AZ,50,FALSE)&gt;0),VLOOKUP(B252,Mai!B:AZ,50,FALSE)*24,"")</f>
        <v/>
      </c>
      <c r="I252" s="30" t="str">
        <f>IF(AND(NETWORKDAYS(B252,B252,Feiertage)=1,VLOOKUP(B252,Mai!B:AZ,6,FALSE)="U"),"Urlaub","")</f>
        <v/>
      </c>
      <c r="J252" s="34" t="str">
        <f ca="1">IF(AND(VLOOKUP(B252,Mai!B:AZ,6,FALSE)="",VLOOKUP(B252,Mai!B:AZ,22,FALSE)&lt;0),"Absetzen von","")</f>
        <v/>
      </c>
      <c r="K252" s="263"/>
      <c r="M252" s="316" t="str">
        <f ca="1">IF(VLOOKUP(B252,Mai!B:AZ,22,FALSE)&lt;&gt;0,VLOOKUP(B252,Mai!B:AZ,22,FALSE),"")</f>
        <v/>
      </c>
      <c r="N252" s="327"/>
    </row>
    <row r="253" spans="2:14" ht="15.75" thickBot="1" x14ac:dyDescent="0.3">
      <c r="B253" s="186"/>
      <c r="C253" s="37"/>
      <c r="D253" s="38" t="s">
        <v>198</v>
      </c>
      <c r="E253" s="39" t="str">
        <f>IF(SUM(E222:E252)=0," ",SUM(E222:E252))</f>
        <v xml:space="preserve"> </v>
      </c>
      <c r="F253" s="39" t="str">
        <f>IF(SUM(F222:F252)=0," ",SUM(F222:F252))</f>
        <v xml:space="preserve"> </v>
      </c>
      <c r="G253" s="39" t="str">
        <f>IF(SUM(G222:G252)=0," ",SUM(G222:G252))</f>
        <v xml:space="preserve"> </v>
      </c>
      <c r="H253" s="40" t="str">
        <f>IF(SUM(H222:H252)=0," ",SUM(H222:H252))</f>
        <v xml:space="preserve"> </v>
      </c>
      <c r="I253" s="30"/>
      <c r="J253" s="185"/>
      <c r="K253" s="266"/>
      <c r="N253" s="327"/>
    </row>
    <row r="254" spans="2:14" x14ac:dyDescent="0.25">
      <c r="B254" s="44" t="s">
        <v>199</v>
      </c>
      <c r="C254" s="20"/>
      <c r="D254" s="41"/>
      <c r="E254" s="20"/>
      <c r="F254" s="20"/>
      <c r="G254" s="20" t="s">
        <v>200</v>
      </c>
      <c r="H254" s="20"/>
      <c r="I254" s="20"/>
      <c r="J254" s="20"/>
      <c r="K254" s="267"/>
      <c r="N254" s="327"/>
    </row>
    <row r="255" spans="2:14" x14ac:dyDescent="0.25">
      <c r="B255" s="44"/>
      <c r="C255" s="20"/>
      <c r="D255" s="41"/>
      <c r="E255" s="20"/>
      <c r="F255" s="20"/>
      <c r="G255" s="20"/>
      <c r="H255" s="20"/>
      <c r="I255" s="20"/>
      <c r="J255" s="20"/>
      <c r="K255" s="267"/>
      <c r="N255" s="327"/>
    </row>
    <row r="256" spans="2:14" x14ac:dyDescent="0.25">
      <c r="B256" s="44"/>
      <c r="C256" s="20"/>
      <c r="D256" s="41"/>
      <c r="E256" s="20"/>
      <c r="F256" s="20"/>
      <c r="G256" s="20"/>
      <c r="H256" s="20"/>
      <c r="I256" s="20"/>
      <c r="J256" s="20"/>
      <c r="K256" s="267"/>
      <c r="N256" s="327"/>
    </row>
    <row r="257" spans="1:14" x14ac:dyDescent="0.25">
      <c r="B257" s="44" t="s">
        <v>201</v>
      </c>
      <c r="C257" s="20"/>
      <c r="D257" s="41"/>
      <c r="E257" s="20"/>
      <c r="F257" s="20"/>
      <c r="G257" s="20" t="s">
        <v>202</v>
      </c>
      <c r="H257" s="20"/>
      <c r="I257" s="20"/>
      <c r="J257" s="20"/>
      <c r="K257" s="267"/>
      <c r="N257" s="327"/>
    </row>
    <row r="258" spans="1:14" x14ac:dyDescent="0.25">
      <c r="B258" s="253"/>
      <c r="C258" s="42"/>
      <c r="D258" s="18"/>
      <c r="E258" s="19"/>
      <c r="F258" s="19"/>
      <c r="G258" s="19"/>
      <c r="H258" s="43"/>
      <c r="I258" s="20"/>
      <c r="J258" s="44"/>
      <c r="K258" s="268"/>
      <c r="N258" s="327"/>
    </row>
    <row r="259" spans="1:14" x14ac:dyDescent="0.25">
      <c r="B259" s="253"/>
      <c r="C259" s="42"/>
      <c r="D259" s="18"/>
      <c r="E259" s="19"/>
      <c r="F259" s="19"/>
      <c r="G259" s="19"/>
      <c r="H259" s="43"/>
      <c r="I259" s="20"/>
      <c r="J259" s="44"/>
      <c r="K259" s="268"/>
      <c r="N259" s="327"/>
    </row>
    <row r="260" spans="1:14" x14ac:dyDescent="0.25">
      <c r="B260" s="253"/>
      <c r="C260" s="42"/>
      <c r="D260" s="18"/>
      <c r="E260" s="19"/>
      <c r="F260" s="19"/>
      <c r="G260" s="19"/>
      <c r="H260" s="43"/>
      <c r="I260" s="20"/>
      <c r="J260" s="44"/>
      <c r="K260" s="268"/>
      <c r="N260" s="327"/>
    </row>
    <row r="261" spans="1:14" x14ac:dyDescent="0.25">
      <c r="B261" s="253"/>
      <c r="C261" s="42"/>
      <c r="D261" s="18"/>
      <c r="E261" s="19"/>
      <c r="F261" s="19"/>
      <c r="G261" s="19"/>
      <c r="H261" s="43"/>
      <c r="I261" s="20"/>
      <c r="J261" s="44"/>
      <c r="K261" s="268"/>
      <c r="N261" s="327"/>
    </row>
    <row r="262" spans="1:14" s="45" customFormat="1" ht="18" x14ac:dyDescent="0.25">
      <c r="B262" s="252"/>
      <c r="C262" s="539" t="s">
        <v>186</v>
      </c>
      <c r="D262" s="539"/>
      <c r="E262" s="539"/>
      <c r="F262" s="539"/>
      <c r="G262" s="21"/>
      <c r="H262" s="21"/>
      <c r="I262" s="21"/>
      <c r="J262" s="21"/>
      <c r="K262" s="259"/>
      <c r="M262" s="317"/>
      <c r="N262" s="328"/>
    </row>
    <row r="263" spans="1:14" s="45" customFormat="1" ht="16.5" x14ac:dyDescent="0.25">
      <c r="B263" s="252" t="s">
        <v>82</v>
      </c>
      <c r="C263" s="21"/>
      <c r="D263" s="22"/>
      <c r="E263" s="21"/>
      <c r="F263" s="21"/>
      <c r="G263" s="21"/>
      <c r="H263" s="21"/>
      <c r="I263" s="23" t="str">
        <f>Struktureinheit</f>
        <v>Struktureinheit</v>
      </c>
      <c r="J263" s="24"/>
      <c r="K263" s="260"/>
      <c r="M263" s="317" t="s">
        <v>187</v>
      </c>
      <c r="N263" s="256"/>
    </row>
    <row r="264" spans="1:14" ht="16.5" x14ac:dyDescent="0.25">
      <c r="A264" s="29"/>
      <c r="B264" s="545" t="s">
        <v>1</v>
      </c>
      <c r="C264" s="545"/>
      <c r="D264" s="20" t="str">
        <f>Name</f>
        <v>Max Mustermann</v>
      </c>
      <c r="E264" s="25"/>
      <c r="F264" s="25"/>
      <c r="G264" s="25"/>
      <c r="H264" s="26"/>
      <c r="I264" s="27"/>
      <c r="J264" s="27"/>
      <c r="K264" s="260"/>
      <c r="M264" s="317" t="s">
        <v>188</v>
      </c>
      <c r="N264" s="257"/>
    </row>
    <row r="265" spans="1:14" ht="9.75" customHeight="1" x14ac:dyDescent="0.25">
      <c r="A265" s="29"/>
      <c r="C265" s="26"/>
      <c r="D265" s="28"/>
      <c r="E265" s="26"/>
      <c r="F265" s="26"/>
      <c r="G265" s="26"/>
      <c r="H265" s="26"/>
      <c r="I265" s="26"/>
      <c r="J265" s="26"/>
      <c r="K265" s="259"/>
      <c r="N265" s="327"/>
    </row>
    <row r="266" spans="1:14" x14ac:dyDescent="0.25">
      <c r="A266" s="29"/>
      <c r="B266" s="545" t="s">
        <v>189</v>
      </c>
      <c r="C266" s="545"/>
      <c r="D266" s="26">
        <f>Personalnummer</f>
        <v>123456789</v>
      </c>
      <c r="G266" s="26"/>
      <c r="H266" s="184" t="s">
        <v>190</v>
      </c>
      <c r="I266" s="540">
        <f>Geburtstag</f>
        <v>16833</v>
      </c>
      <c r="J266" s="540"/>
      <c r="K266" s="261"/>
      <c r="N266" s="327"/>
    </row>
    <row r="267" spans="1:14" x14ac:dyDescent="0.25">
      <c r="A267" s="29"/>
      <c r="C267" s="26"/>
      <c r="D267" s="28"/>
      <c r="E267" s="26"/>
      <c r="F267" s="26"/>
      <c r="G267" s="26"/>
      <c r="H267" s="26"/>
      <c r="I267" s="26"/>
      <c r="J267" s="26"/>
      <c r="K267" s="259"/>
      <c r="N267" s="327"/>
    </row>
    <row r="268" spans="1:14" x14ac:dyDescent="0.25">
      <c r="A268" s="29"/>
      <c r="B268" s="541" t="s">
        <v>191</v>
      </c>
      <c r="C268" s="541"/>
      <c r="D268" s="542">
        <f>B274</f>
        <v>42155</v>
      </c>
      <c r="E268" s="542"/>
      <c r="F268" s="542"/>
      <c r="G268" s="542"/>
      <c r="H268" s="542"/>
      <c r="I268" s="186"/>
      <c r="J268" s="543"/>
      <c r="K268" s="544"/>
      <c r="N268" s="327"/>
    </row>
    <row r="269" spans="1:14" ht="15" customHeight="1" x14ac:dyDescent="0.25">
      <c r="B269" s="557"/>
      <c r="C269" s="557"/>
      <c r="D269" s="558" t="s">
        <v>192</v>
      </c>
      <c r="E269" s="546" t="s">
        <v>38</v>
      </c>
      <c r="F269" s="546" t="s">
        <v>39</v>
      </c>
      <c r="G269" s="546" t="s">
        <v>105</v>
      </c>
      <c r="H269" s="548" t="s">
        <v>81</v>
      </c>
      <c r="I269" s="30" t="s">
        <v>193</v>
      </c>
      <c r="J269" s="550" t="s">
        <v>63</v>
      </c>
      <c r="K269" s="551"/>
      <c r="N269" s="327"/>
    </row>
    <row r="270" spans="1:14" x14ac:dyDescent="0.25">
      <c r="B270" s="557"/>
      <c r="C270" s="557"/>
      <c r="D270" s="558"/>
      <c r="E270" s="547"/>
      <c r="F270" s="547"/>
      <c r="G270" s="547"/>
      <c r="H270" s="549"/>
      <c r="I270" s="552"/>
      <c r="J270" s="550"/>
      <c r="K270" s="551"/>
      <c r="N270" s="327"/>
    </row>
    <row r="271" spans="1:14" x14ac:dyDescent="0.25">
      <c r="B271" s="557"/>
      <c r="C271" s="186"/>
      <c r="D271" s="31" t="s">
        <v>194</v>
      </c>
      <c r="E271" s="186" t="s">
        <v>195</v>
      </c>
      <c r="F271" s="186"/>
      <c r="G271" s="186" t="s">
        <v>196</v>
      </c>
      <c r="H271" s="32"/>
      <c r="I271" s="544"/>
      <c r="J271" s="543"/>
      <c r="K271" s="554"/>
      <c r="N271" s="327"/>
    </row>
    <row r="272" spans="1:14" x14ac:dyDescent="0.25">
      <c r="B272" s="186" t="s">
        <v>80</v>
      </c>
      <c r="C272" s="186" t="s">
        <v>128</v>
      </c>
      <c r="D272" s="31"/>
      <c r="E272" s="186" t="s">
        <v>197</v>
      </c>
      <c r="F272" s="186" t="s">
        <v>197</v>
      </c>
      <c r="G272" s="186" t="s">
        <v>197</v>
      </c>
      <c r="H272" s="32" t="s">
        <v>197</v>
      </c>
      <c r="I272" s="553"/>
      <c r="J272" s="555"/>
      <c r="K272" s="556"/>
      <c r="N272" s="327"/>
    </row>
    <row r="273" spans="2:14" x14ac:dyDescent="0.25">
      <c r="B273" s="186"/>
      <c r="C273" s="186"/>
      <c r="D273" s="33"/>
      <c r="E273" s="16"/>
      <c r="F273" s="186"/>
      <c r="G273" s="186"/>
      <c r="H273" s="32"/>
      <c r="I273" s="30"/>
      <c r="J273" s="34"/>
      <c r="K273" s="269"/>
      <c r="N273" s="327"/>
    </row>
    <row r="274" spans="2:14" x14ac:dyDescent="0.25">
      <c r="B274" s="245">
        <f>Jun!F8</f>
        <v>42155</v>
      </c>
      <c r="C274" s="35">
        <f t="shared" si="3"/>
        <v>42155</v>
      </c>
      <c r="D274" s="17" t="str">
        <f>IF(AND(VLOOKUP(B274,Jun!B:AZ,8,FALSE)&gt;0,VLOOKUP(B274,Jun!B:AZ,6,FALSE)=""), CONCATENATE(TEXT(VLOOKUP(B274,Jun!B:AZ,7,FALSE),"hh:mm"), "-", TEXT(VLOOKUP(B274,Jun!B:AZ,8,FALSE),"[hh]:mm")," Uhr ", IF(VLOOKUP(B274,Jun!B:AZ,12,FALSE)&gt;0, CONCATENATE("und ",TEXT(VLOOKUP(B274,Jun!B:AZ,12,FALSE),"hh:mm"), "-", TEXT(VLOOKUP(B274,Jun!B:AZ,13,FALSE),"[hh]:mm")," Uhr "),"")), IF(VLOOKUP(B274,Jun!B:AZ,6,FALSE)="","",VLOOKUP(VLOOKUP(B274,Jun!B:AZ,6,FALSE),Legende_Code,2,FALSE)))</f>
        <v/>
      </c>
      <c r="E274" s="16" t="str">
        <f>IF(AND(VLOOKUP(B274,Jun!B:AZ,6,FALSE)="", WEEKDAY(B274,2)=6,VLOOKUP(B274,Jun!B:AZ,48,FALSE)&gt;0),VLOOKUP(B274,Jun!B:AZ,48,FALSE)*24,"")</f>
        <v/>
      </c>
      <c r="F274" s="16" t="str">
        <f>IF(AND(VLOOKUP(B274,Jun!B:AZ,6,FALSE)="", WEEKDAY(B274,2)=7,VLOOKUP(B274,Jun!B:AZ,49,FALSE)&gt;0),VLOOKUP(B274,Jun!B:AZ,49,FALSE)*24,"")</f>
        <v/>
      </c>
      <c r="G274" s="16" t="str">
        <f>IF(AND(VLOOKUP(B274,Jun!B:AZ,6,FALSE)="",VLOOKUP(B274,Jun!B:AZ,46,FALSE)&gt;0),VLOOKUP(B274,Jun!B:AZ,46,FALSE)*24,"")</f>
        <v/>
      </c>
      <c r="H274" s="36" t="str">
        <f>IF(AND(VLOOKUP(B274,Jun!B:AZ,6,FALSE)="",VLOOKUP(B274,Jun!B:AZ,50,FALSE)&gt;0),VLOOKUP(B274,Jun!B:AZ,50,FALSE)*24,"")</f>
        <v/>
      </c>
      <c r="I274" s="30" t="str">
        <f>IF(AND(NETWORKDAYS(B274,B274,Feiertage)=1,VLOOKUP(B274,Jun!B:AZ,6,FALSE)="U"),"Urlaub","")</f>
        <v/>
      </c>
      <c r="J274" s="34" t="str">
        <f ca="1">IF(AND(VLOOKUP(B274,Jun!B:AZ,6,FALSE)="",VLOOKUP(B274,Jun!B:AZ,22,FALSE)&lt;0),"Absetzen von","")</f>
        <v/>
      </c>
      <c r="K274" s="263"/>
      <c r="M274" s="316" t="str">
        <f ca="1">IF(VLOOKUP(B274,Jun!B:AZ,22,FALSE)&lt;&gt;0,VLOOKUP(B274,Jun!B:AZ,22,FALSE),"")</f>
        <v/>
      </c>
      <c r="N274" s="327"/>
    </row>
    <row r="275" spans="2:14" x14ac:dyDescent="0.25">
      <c r="B275" s="245">
        <f>Jun!F9</f>
        <v>42156</v>
      </c>
      <c r="C275" s="35">
        <f t="shared" si="3"/>
        <v>42156</v>
      </c>
      <c r="D275" s="17" t="str">
        <f>IF(AND(VLOOKUP(B275,Jun!B:AZ,8,FALSE)&gt;0,VLOOKUP(B275,Jun!B:AZ,6,FALSE)=""), CONCATENATE(TEXT(VLOOKUP(B275,Jun!B:AZ,7,FALSE),"hh:mm"), "-", TEXT(VLOOKUP(B275,Jun!B:AZ,8,FALSE),"[hh]:mm")," Uhr ", IF(VLOOKUP(B275,Jun!B:AZ,12,FALSE)&gt;0, CONCATENATE("und ",TEXT(VLOOKUP(B275,Jun!B:AZ,12,FALSE),"hh:mm"), "-", TEXT(VLOOKUP(B275,Jun!B:AZ,13,FALSE),"[hh]:mm")," Uhr "),"")), IF(VLOOKUP(B275,Jun!B:AZ,6,FALSE)="","",VLOOKUP(VLOOKUP(B275,Jun!B:AZ,6,FALSE),Legende_Code,2,FALSE)))</f>
        <v/>
      </c>
      <c r="E275" s="16" t="str">
        <f>IF(AND(VLOOKUP(B275,Jun!B:AZ,6,FALSE)="", WEEKDAY(B275,2)=6,VLOOKUP(B275,Jun!B:AZ,48,FALSE)&gt;0),VLOOKUP(B275,Jun!B:AZ,48,FALSE)*24,"")</f>
        <v/>
      </c>
      <c r="F275" s="16" t="str">
        <f>IF(AND(VLOOKUP(B275,Jun!B:AZ,6,FALSE)="", WEEKDAY(B275,2)=7,VLOOKUP(B275,Jun!B:AZ,49,FALSE)&gt;0),VLOOKUP(B275,Jun!B:AZ,49,FALSE)*24,"")</f>
        <v/>
      </c>
      <c r="G275" s="16" t="str">
        <f>IF(AND(VLOOKUP(B275,Jun!B:AZ,6,FALSE)="",VLOOKUP(B275,Jun!B:AZ,46,FALSE)&gt;0),VLOOKUP(B275,Jun!B:AZ,46,FALSE)*24,"")</f>
        <v/>
      </c>
      <c r="H275" s="36" t="str">
        <f>IF(AND(VLOOKUP(B275,Jun!B:AZ,6,FALSE)="",VLOOKUP(B275,Jun!B:AZ,50,FALSE)&gt;0),VLOOKUP(B275,Jun!B:AZ,50,FALSE)*24,"")</f>
        <v/>
      </c>
      <c r="I275" s="30" t="str">
        <f>IF(AND(NETWORKDAYS(B275,B275,Feiertage)=1,VLOOKUP(B275,Jun!B:AZ,6,FALSE)="U"),"Urlaub","")</f>
        <v/>
      </c>
      <c r="J275" s="34" t="str">
        <f ca="1">IF(AND(VLOOKUP(B275,Jun!B:AZ,6,FALSE)="",VLOOKUP(B275,Jun!B:AZ,22,FALSE)&lt;0),"Absetzen von","")</f>
        <v/>
      </c>
      <c r="K275" s="263"/>
      <c r="M275" s="316" t="str">
        <f ca="1">IF(VLOOKUP(B275,Jun!B:AZ,22,FALSE)&lt;&gt;0,VLOOKUP(B275,Jun!B:AZ,22,FALSE),"")</f>
        <v/>
      </c>
      <c r="N275" s="327"/>
    </row>
    <row r="276" spans="2:14" x14ac:dyDescent="0.25">
      <c r="B276" s="245">
        <f>Jun!F10</f>
        <v>42157</v>
      </c>
      <c r="C276" s="35">
        <f t="shared" si="3"/>
        <v>42157</v>
      </c>
      <c r="D276" s="17" t="str">
        <f>IF(AND(VLOOKUP(B276,Jun!B:AZ,8,FALSE)&gt;0,VLOOKUP(B276,Jun!B:AZ,6,FALSE)=""), CONCATENATE(TEXT(VLOOKUP(B276,Jun!B:AZ,7,FALSE),"hh:mm"), "-", TEXT(VLOOKUP(B276,Jun!B:AZ,8,FALSE),"[hh]:mm")," Uhr ", IF(VLOOKUP(B276,Jun!B:AZ,12,FALSE)&gt;0, CONCATENATE("und ",TEXT(VLOOKUP(B276,Jun!B:AZ,12,FALSE),"hh:mm"), "-", TEXT(VLOOKUP(B276,Jun!B:AZ,13,FALSE),"[hh]:mm")," Uhr "),"")), IF(VLOOKUP(B276,Jun!B:AZ,6,FALSE)="","",VLOOKUP(VLOOKUP(B276,Jun!B:AZ,6,FALSE),Legende_Code,2,FALSE)))</f>
        <v/>
      </c>
      <c r="E276" s="16" t="str">
        <f>IF(AND(VLOOKUP(B276,Jun!B:AZ,6,FALSE)="", WEEKDAY(B276,2)=6,VLOOKUP(B276,Jun!B:AZ,48,FALSE)&gt;0),VLOOKUP(B276,Jun!B:AZ,48,FALSE)*24,"")</f>
        <v/>
      </c>
      <c r="F276" s="16" t="str">
        <f>IF(AND(VLOOKUP(B276,Jun!B:AZ,6,FALSE)="", WEEKDAY(B276,2)=7,VLOOKUP(B276,Jun!B:AZ,49,FALSE)&gt;0),VLOOKUP(B276,Jun!B:AZ,49,FALSE)*24,"")</f>
        <v/>
      </c>
      <c r="G276" s="16" t="str">
        <f>IF(AND(VLOOKUP(B276,Jun!B:AZ,6,FALSE)="",VLOOKUP(B276,Jun!B:AZ,46,FALSE)&gt;0),VLOOKUP(B276,Jun!B:AZ,46,FALSE)*24,"")</f>
        <v/>
      </c>
      <c r="H276" s="36" t="str">
        <f>IF(AND(VLOOKUP(B276,Jun!B:AZ,6,FALSE)="",VLOOKUP(B276,Jun!B:AZ,50,FALSE)&gt;0),VLOOKUP(B276,Jun!B:AZ,50,FALSE)*24,"")</f>
        <v/>
      </c>
      <c r="I276" s="30" t="str">
        <f>IF(AND(NETWORKDAYS(B276,B276,Feiertage)=1,VLOOKUP(B276,Jun!B:AZ,6,FALSE)="U"),"Urlaub","")</f>
        <v/>
      </c>
      <c r="J276" s="34" t="str">
        <f ca="1">IF(AND(VLOOKUP(B276,Jun!B:AZ,6,FALSE)="",VLOOKUP(B276,Jun!B:AZ,22,FALSE)&lt;0),"Absetzen von","")</f>
        <v/>
      </c>
      <c r="K276" s="263"/>
      <c r="M276" s="316" t="str">
        <f ca="1">IF(VLOOKUP(B276,Jun!B:AZ,22,FALSE)&lt;&gt;0,VLOOKUP(B276,Jun!B:AZ,22,FALSE),"")</f>
        <v/>
      </c>
      <c r="N276" s="327"/>
    </row>
    <row r="277" spans="2:14" x14ac:dyDescent="0.25">
      <c r="B277" s="245">
        <f>Jun!F11</f>
        <v>42158</v>
      </c>
      <c r="C277" s="35">
        <f t="shared" si="3"/>
        <v>42158</v>
      </c>
      <c r="D277" s="17" t="str">
        <f>IF(AND(VLOOKUP(B277,Jun!B:AZ,8,FALSE)&gt;0,VLOOKUP(B277,Jun!B:AZ,6,FALSE)=""), CONCATENATE(TEXT(VLOOKUP(B277,Jun!B:AZ,7,FALSE),"hh:mm"), "-", TEXT(VLOOKUP(B277,Jun!B:AZ,8,FALSE),"[hh]:mm")," Uhr ", IF(VLOOKUP(B277,Jun!B:AZ,12,FALSE)&gt;0, CONCATENATE("und ",TEXT(VLOOKUP(B277,Jun!B:AZ,12,FALSE),"hh:mm"), "-", TEXT(VLOOKUP(B277,Jun!B:AZ,13,FALSE),"[hh]:mm")," Uhr "),"")), IF(VLOOKUP(B277,Jun!B:AZ,6,FALSE)="","",VLOOKUP(VLOOKUP(B277,Jun!B:AZ,6,FALSE),Legende_Code,2,FALSE)))</f>
        <v/>
      </c>
      <c r="E277" s="16" t="str">
        <f>IF(AND(VLOOKUP(B277,Jun!B:AZ,6,FALSE)="", WEEKDAY(B277,2)=6,VLOOKUP(B277,Jun!B:AZ,48,FALSE)&gt;0),VLOOKUP(B277,Jun!B:AZ,48,FALSE)*24,"")</f>
        <v/>
      </c>
      <c r="F277" s="16" t="str">
        <f>IF(AND(VLOOKUP(B277,Jun!B:AZ,6,FALSE)="", WEEKDAY(B277,2)=7,VLOOKUP(B277,Jun!B:AZ,49,FALSE)&gt;0),VLOOKUP(B277,Jun!B:AZ,49,FALSE)*24,"")</f>
        <v/>
      </c>
      <c r="G277" s="16" t="str">
        <f>IF(AND(VLOOKUP(B277,Jun!B:AZ,6,FALSE)="",VLOOKUP(B277,Jun!B:AZ,46,FALSE)&gt;0),VLOOKUP(B277,Jun!B:AZ,46,FALSE)*24,"")</f>
        <v/>
      </c>
      <c r="H277" s="36" t="str">
        <f>IF(AND(VLOOKUP(B277,Jun!B:AZ,6,FALSE)="",VLOOKUP(B277,Jun!B:AZ,50,FALSE)&gt;0),VLOOKUP(B277,Jun!B:AZ,50,FALSE)*24,"")</f>
        <v/>
      </c>
      <c r="I277" s="30" t="str">
        <f>IF(AND(NETWORKDAYS(B277,B277,Feiertage)=1,VLOOKUP(B277,Jun!B:AZ,6,FALSE)="U"),"Urlaub","")</f>
        <v/>
      </c>
      <c r="J277" s="34" t="str">
        <f ca="1">IF(AND(VLOOKUP(B277,Jun!B:AZ,6,FALSE)="",VLOOKUP(B277,Jun!B:AZ,22,FALSE)&lt;0),"Absetzen von","")</f>
        <v/>
      </c>
      <c r="K277" s="263"/>
      <c r="M277" s="316" t="str">
        <f ca="1">IF(VLOOKUP(B277,Jun!B:AZ,22,FALSE)&lt;&gt;0,VLOOKUP(B277,Jun!B:AZ,22,FALSE),"")</f>
        <v/>
      </c>
      <c r="N277" s="327"/>
    </row>
    <row r="278" spans="2:14" x14ac:dyDescent="0.25">
      <c r="B278" s="245">
        <f>Jun!F12</f>
        <v>42159</v>
      </c>
      <c r="C278" s="35">
        <f t="shared" si="3"/>
        <v>42159</v>
      </c>
      <c r="D278" s="17" t="str">
        <f>IF(AND(VLOOKUP(B278,Jun!B:AZ,8,FALSE)&gt;0,VLOOKUP(B278,Jun!B:AZ,6,FALSE)=""), CONCATENATE(TEXT(VLOOKUP(B278,Jun!B:AZ,7,FALSE),"hh:mm"), "-", TEXT(VLOOKUP(B278,Jun!B:AZ,8,FALSE),"[hh]:mm")," Uhr ", IF(VLOOKUP(B278,Jun!B:AZ,12,FALSE)&gt;0, CONCATENATE("und ",TEXT(VLOOKUP(B278,Jun!B:AZ,12,FALSE),"hh:mm"), "-", TEXT(VLOOKUP(B278,Jun!B:AZ,13,FALSE),"[hh]:mm")," Uhr "),"")), IF(VLOOKUP(B278,Jun!B:AZ,6,FALSE)="","",VLOOKUP(VLOOKUP(B278,Jun!B:AZ,6,FALSE),Legende_Code,2,FALSE)))</f>
        <v/>
      </c>
      <c r="E278" s="16" t="str">
        <f>IF(AND(VLOOKUP(B278,Jun!B:AZ,6,FALSE)="", WEEKDAY(B278,2)=6,VLOOKUP(B278,Jun!B:AZ,48,FALSE)&gt;0),VLOOKUP(B278,Jun!B:AZ,48,FALSE)*24,"")</f>
        <v/>
      </c>
      <c r="F278" s="16" t="str">
        <f>IF(AND(VLOOKUP(B278,Jun!B:AZ,6,FALSE)="", WEEKDAY(B278,2)=7,VLOOKUP(B278,Jun!B:AZ,49,FALSE)&gt;0),VLOOKUP(B278,Jun!B:AZ,49,FALSE)*24,"")</f>
        <v/>
      </c>
      <c r="G278" s="16" t="str">
        <f>IF(AND(VLOOKUP(B278,Jun!B:AZ,6,FALSE)="",VLOOKUP(B278,Jun!B:AZ,46,FALSE)&gt;0),VLOOKUP(B278,Jun!B:AZ,46,FALSE)*24,"")</f>
        <v/>
      </c>
      <c r="H278" s="36" t="str">
        <f>IF(AND(VLOOKUP(B278,Jun!B:AZ,6,FALSE)="",VLOOKUP(B278,Jun!B:AZ,50,FALSE)&gt;0),VLOOKUP(B278,Jun!B:AZ,50,FALSE)*24,"")</f>
        <v/>
      </c>
      <c r="I278" s="30" t="str">
        <f>IF(AND(NETWORKDAYS(B278,B278,Feiertage)=1,VLOOKUP(B278,Jun!B:AZ,6,FALSE)="U"),"Urlaub","")</f>
        <v/>
      </c>
      <c r="J278" s="34" t="str">
        <f ca="1">IF(AND(VLOOKUP(B278,Jun!B:AZ,6,FALSE)="",VLOOKUP(B278,Jun!B:AZ,22,FALSE)&lt;0),"Absetzen von","")</f>
        <v/>
      </c>
      <c r="K278" s="263"/>
      <c r="M278" s="316" t="str">
        <f ca="1">IF(VLOOKUP(B278,Jun!B:AZ,22,FALSE)&lt;&gt;0,VLOOKUP(B278,Jun!B:AZ,22,FALSE),"")</f>
        <v/>
      </c>
      <c r="N278" s="327"/>
    </row>
    <row r="279" spans="2:14" x14ac:dyDescent="0.25">
      <c r="B279" s="245">
        <f>Jun!F13</f>
        <v>42160</v>
      </c>
      <c r="C279" s="35">
        <f t="shared" si="3"/>
        <v>42160</v>
      </c>
      <c r="D279" s="17" t="str">
        <f>IF(AND(VLOOKUP(B279,Jun!B:AZ,8,FALSE)&gt;0,VLOOKUP(B279,Jun!B:AZ,6,FALSE)=""), CONCATENATE(TEXT(VLOOKUP(B279,Jun!B:AZ,7,FALSE),"hh:mm"), "-", TEXT(VLOOKUP(B279,Jun!B:AZ,8,FALSE),"[hh]:mm")," Uhr ", IF(VLOOKUP(B279,Jun!B:AZ,12,FALSE)&gt;0, CONCATENATE("und ",TEXT(VLOOKUP(B279,Jun!B:AZ,12,FALSE),"hh:mm"), "-", TEXT(VLOOKUP(B279,Jun!B:AZ,13,FALSE),"[hh]:mm")," Uhr "),"")), IF(VLOOKUP(B279,Jun!B:AZ,6,FALSE)="","",VLOOKUP(VLOOKUP(B279,Jun!B:AZ,6,FALSE),Legende_Code,2,FALSE)))</f>
        <v/>
      </c>
      <c r="E279" s="16" t="str">
        <f>IF(AND(VLOOKUP(B279,Jun!B:AZ,6,FALSE)="", WEEKDAY(B279,2)=6,VLOOKUP(B279,Jun!B:AZ,48,FALSE)&gt;0),VLOOKUP(B279,Jun!B:AZ,48,FALSE)*24,"")</f>
        <v/>
      </c>
      <c r="F279" s="16" t="str">
        <f>IF(AND(VLOOKUP(B279,Jun!B:AZ,6,FALSE)="", WEEKDAY(B279,2)=7,VLOOKUP(B279,Jun!B:AZ,49,FALSE)&gt;0),VLOOKUP(B279,Jun!B:AZ,49,FALSE)*24,"")</f>
        <v/>
      </c>
      <c r="G279" s="16" t="str">
        <f>IF(AND(VLOOKUP(B279,Jun!B:AZ,6,FALSE)="",VLOOKUP(B279,Jun!B:AZ,46,FALSE)&gt;0),VLOOKUP(B279,Jun!B:AZ,46,FALSE)*24,"")</f>
        <v/>
      </c>
      <c r="H279" s="36" t="str">
        <f>IF(AND(VLOOKUP(B279,Jun!B:AZ,6,FALSE)="",VLOOKUP(B279,Jun!B:AZ,50,FALSE)&gt;0),VLOOKUP(B279,Jun!B:AZ,50,FALSE)*24,"")</f>
        <v/>
      </c>
      <c r="I279" s="30" t="str">
        <f>IF(AND(NETWORKDAYS(B279,B279,Feiertage)=1,VLOOKUP(B279,Jun!B:AZ,6,FALSE)="U"),"Urlaub","")</f>
        <v/>
      </c>
      <c r="J279" s="34" t="str">
        <f ca="1">IF(AND(VLOOKUP(B279,Jun!B:AZ,6,FALSE)="",VLOOKUP(B279,Jun!B:AZ,22,FALSE)&lt;0),"Absetzen von","")</f>
        <v/>
      </c>
      <c r="K279" s="263"/>
      <c r="M279" s="316" t="str">
        <f ca="1">IF(VLOOKUP(B279,Jun!B:AZ,22,FALSE)&lt;&gt;0,VLOOKUP(B279,Jun!B:AZ,22,FALSE),"")</f>
        <v/>
      </c>
      <c r="N279" s="327"/>
    </row>
    <row r="280" spans="2:14" x14ac:dyDescent="0.25">
      <c r="B280" s="245">
        <f>Jun!F14</f>
        <v>42161</v>
      </c>
      <c r="C280" s="35">
        <f t="shared" si="3"/>
        <v>42161</v>
      </c>
      <c r="D280" s="17" t="str">
        <f>IF(AND(VLOOKUP(B280,Jun!B:AZ,8,FALSE)&gt;0,VLOOKUP(B280,Jun!B:AZ,6,FALSE)=""), CONCATENATE(TEXT(VLOOKUP(B280,Jun!B:AZ,7,FALSE),"hh:mm"), "-", TEXT(VLOOKUP(B280,Jun!B:AZ,8,FALSE),"[hh]:mm")," Uhr ", IF(VLOOKUP(B280,Jun!B:AZ,12,FALSE)&gt;0, CONCATENATE("und ",TEXT(VLOOKUP(B280,Jun!B:AZ,12,FALSE),"hh:mm"), "-", TEXT(VLOOKUP(B280,Jun!B:AZ,13,FALSE),"[hh]:mm")," Uhr "),"")), IF(VLOOKUP(B280,Jun!B:AZ,6,FALSE)="","",VLOOKUP(VLOOKUP(B280,Jun!B:AZ,6,FALSE),Legende_Code,2,FALSE)))</f>
        <v/>
      </c>
      <c r="E280" s="16" t="str">
        <f>IF(AND(VLOOKUP(B280,Jun!B:AZ,6,FALSE)="", WEEKDAY(B280,2)=6,VLOOKUP(B280,Jun!B:AZ,48,FALSE)&gt;0),VLOOKUP(B280,Jun!B:AZ,48,FALSE)*24,"")</f>
        <v/>
      </c>
      <c r="F280" s="16" t="str">
        <f>IF(AND(VLOOKUP(B280,Jun!B:AZ,6,FALSE)="", WEEKDAY(B280,2)=7,VLOOKUP(B280,Jun!B:AZ,49,FALSE)&gt;0),VLOOKUP(B280,Jun!B:AZ,49,FALSE)*24,"")</f>
        <v/>
      </c>
      <c r="G280" s="16" t="str">
        <f>IF(AND(VLOOKUP(B280,Jun!B:AZ,6,FALSE)="",VLOOKUP(B280,Jun!B:AZ,46,FALSE)&gt;0),VLOOKUP(B280,Jun!B:AZ,46,FALSE)*24,"")</f>
        <v/>
      </c>
      <c r="H280" s="36" t="str">
        <f>IF(AND(VLOOKUP(B280,Jun!B:AZ,6,FALSE)="",VLOOKUP(B280,Jun!B:AZ,50,FALSE)&gt;0),VLOOKUP(B280,Jun!B:AZ,50,FALSE)*24,"")</f>
        <v/>
      </c>
      <c r="I280" s="30" t="str">
        <f>IF(AND(NETWORKDAYS(B280,B280,Feiertage)=1,VLOOKUP(B280,Jun!B:AZ,6,FALSE)="U"),"Urlaub","")</f>
        <v/>
      </c>
      <c r="J280" s="34" t="str">
        <f ca="1">IF(AND(VLOOKUP(B280,Jun!B:AZ,6,FALSE)="",VLOOKUP(B280,Jun!B:AZ,22,FALSE)&lt;0),"Absetzen von","")</f>
        <v/>
      </c>
      <c r="K280" s="263"/>
      <c r="M280" s="316" t="str">
        <f ca="1">IF(VLOOKUP(B280,Jun!B:AZ,22,FALSE)&lt;&gt;0,VLOOKUP(B280,Jun!B:AZ,22,FALSE),"")</f>
        <v/>
      </c>
      <c r="N280" s="327"/>
    </row>
    <row r="281" spans="2:14" x14ac:dyDescent="0.25">
      <c r="B281" s="245">
        <f>Jun!F15</f>
        <v>42162</v>
      </c>
      <c r="C281" s="35">
        <f t="shared" si="3"/>
        <v>42162</v>
      </c>
      <c r="D281" s="17" t="str">
        <f>IF(AND(VLOOKUP(B281,Jun!B:AZ,8,FALSE)&gt;0,VLOOKUP(B281,Jun!B:AZ,6,FALSE)=""), CONCATENATE(TEXT(VLOOKUP(B281,Jun!B:AZ,7,FALSE),"hh:mm"), "-", TEXT(VLOOKUP(B281,Jun!B:AZ,8,FALSE),"[hh]:mm")," Uhr ", IF(VLOOKUP(B281,Jun!B:AZ,12,FALSE)&gt;0, CONCATENATE("und ",TEXT(VLOOKUP(B281,Jun!B:AZ,12,FALSE),"hh:mm"), "-", TEXT(VLOOKUP(B281,Jun!B:AZ,13,FALSE),"[hh]:mm")," Uhr "),"")), IF(VLOOKUP(B281,Jun!B:AZ,6,FALSE)="","",VLOOKUP(VLOOKUP(B281,Jun!B:AZ,6,FALSE),Legende_Code,2,FALSE)))</f>
        <v/>
      </c>
      <c r="E281" s="16" t="str">
        <f>IF(AND(VLOOKUP(B281,Jun!B:AZ,6,FALSE)="", WEEKDAY(B281,2)=6,VLOOKUP(B281,Jun!B:AZ,48,FALSE)&gt;0),VLOOKUP(B281,Jun!B:AZ,48,FALSE)*24,"")</f>
        <v/>
      </c>
      <c r="F281" s="16" t="str">
        <f>IF(AND(VLOOKUP(B281,Jun!B:AZ,6,FALSE)="", WEEKDAY(B281,2)=7,VLOOKUP(B281,Jun!B:AZ,49,FALSE)&gt;0),VLOOKUP(B281,Jun!B:AZ,49,FALSE)*24,"")</f>
        <v/>
      </c>
      <c r="G281" s="16" t="str">
        <f>IF(AND(VLOOKUP(B281,Jun!B:AZ,6,FALSE)="",VLOOKUP(B281,Jun!B:AZ,46,FALSE)&gt;0),VLOOKUP(B281,Jun!B:AZ,46,FALSE)*24,"")</f>
        <v/>
      </c>
      <c r="H281" s="36" t="str">
        <f>IF(AND(VLOOKUP(B281,Jun!B:AZ,6,FALSE)="",VLOOKUP(B281,Jun!B:AZ,50,FALSE)&gt;0),VLOOKUP(B281,Jun!B:AZ,50,FALSE)*24,"")</f>
        <v/>
      </c>
      <c r="I281" s="30" t="str">
        <f>IF(AND(NETWORKDAYS(B281,B281,Feiertage)=1,VLOOKUP(B281,Jun!B:AZ,6,FALSE)="U"),"Urlaub","")</f>
        <v/>
      </c>
      <c r="J281" s="34" t="str">
        <f>IF(AND(VLOOKUP(B281,Jun!B:AZ,6,FALSE)="",VLOOKUP(B281,Jun!B:AZ,22,FALSE)&lt;0),"Absetzen von","")</f>
        <v/>
      </c>
      <c r="K281" s="263"/>
      <c r="M281" s="316" t="str">
        <f>IF(VLOOKUP(B281,Jun!B:AZ,22,FALSE)&lt;&gt;0,VLOOKUP(B281,Jun!B:AZ,22,FALSE),"")</f>
        <v/>
      </c>
      <c r="N281" s="327"/>
    </row>
    <row r="282" spans="2:14" x14ac:dyDescent="0.25">
      <c r="B282" s="245">
        <f>Jun!F16</f>
        <v>42163</v>
      </c>
      <c r="C282" s="35">
        <f t="shared" si="3"/>
        <v>42163</v>
      </c>
      <c r="D282" s="17" t="str">
        <f>IF(AND(VLOOKUP(B282,Jun!B:AZ,8,FALSE)&gt;0,VLOOKUP(B282,Jun!B:AZ,6,FALSE)=""), CONCATENATE(TEXT(VLOOKUP(B282,Jun!B:AZ,7,FALSE),"hh:mm"), "-", TEXT(VLOOKUP(B282,Jun!B:AZ,8,FALSE),"[hh]:mm")," Uhr ", IF(VLOOKUP(B282,Jun!B:AZ,12,FALSE)&gt;0, CONCATENATE("und ",TEXT(VLOOKUP(B282,Jun!B:AZ,12,FALSE),"hh:mm"), "-", TEXT(VLOOKUP(B282,Jun!B:AZ,13,FALSE),"[hh]:mm")," Uhr "),"")), IF(VLOOKUP(B282,Jun!B:AZ,6,FALSE)="","",VLOOKUP(VLOOKUP(B282,Jun!B:AZ,6,FALSE),Legende_Code,2,FALSE)))</f>
        <v/>
      </c>
      <c r="E282" s="16" t="str">
        <f>IF(AND(VLOOKUP(B282,Jun!B:AZ,6,FALSE)="", WEEKDAY(B282,2)=6,VLOOKUP(B282,Jun!B:AZ,48,FALSE)&gt;0),VLOOKUP(B282,Jun!B:AZ,48,FALSE)*24,"")</f>
        <v/>
      </c>
      <c r="F282" s="16" t="str">
        <f>IF(AND(VLOOKUP(B282,Jun!B:AZ,6,FALSE)="", WEEKDAY(B282,2)=7,VLOOKUP(B282,Jun!B:AZ,49,FALSE)&gt;0),VLOOKUP(B282,Jun!B:AZ,49,FALSE)*24,"")</f>
        <v/>
      </c>
      <c r="G282" s="16" t="str">
        <f>IF(AND(VLOOKUP(B282,Jun!B:AZ,6,FALSE)="",VLOOKUP(B282,Jun!B:AZ,46,FALSE)&gt;0),VLOOKUP(B282,Jun!B:AZ,46,FALSE)*24,"")</f>
        <v/>
      </c>
      <c r="H282" s="36" t="str">
        <f>IF(AND(VLOOKUP(B282,Jun!B:AZ,6,FALSE)="",VLOOKUP(B282,Jun!B:AZ,50,FALSE)&gt;0),VLOOKUP(B282,Jun!B:AZ,50,FALSE)*24,"")</f>
        <v/>
      </c>
      <c r="I282" s="30" t="str">
        <f>IF(AND(NETWORKDAYS(B282,B282,Feiertage)=1,VLOOKUP(B282,Jun!B:AZ,6,FALSE)="U"),"Urlaub","")</f>
        <v/>
      </c>
      <c r="J282" s="34" t="str">
        <f>IF(AND(VLOOKUP(B282,Jun!B:AZ,6,FALSE)="",VLOOKUP(B282,Jun!B:AZ,22,FALSE)&lt;0),"Absetzen von","")</f>
        <v/>
      </c>
      <c r="K282" s="263"/>
      <c r="M282" s="316" t="str">
        <f>IF(VLOOKUP(B282,Jun!B:AZ,22,FALSE)&lt;&gt;0,VLOOKUP(B282,Jun!B:AZ,22,FALSE),"")</f>
        <v/>
      </c>
      <c r="N282" s="327"/>
    </row>
    <row r="283" spans="2:14" x14ac:dyDescent="0.25">
      <c r="B283" s="245">
        <f>Jun!F17</f>
        <v>42164</v>
      </c>
      <c r="C283" s="35">
        <f t="shared" si="3"/>
        <v>42164</v>
      </c>
      <c r="D283" s="17" t="str">
        <f>IF(AND(VLOOKUP(B283,Jun!B:AZ,8,FALSE)&gt;0,VLOOKUP(B283,Jun!B:AZ,6,FALSE)=""), CONCATENATE(TEXT(VLOOKUP(B283,Jun!B:AZ,7,FALSE),"hh:mm"), "-", TEXT(VLOOKUP(B283,Jun!B:AZ,8,FALSE),"[hh]:mm")," Uhr ", IF(VLOOKUP(B283,Jun!B:AZ,12,FALSE)&gt;0, CONCATENATE("und ",TEXT(VLOOKUP(B283,Jun!B:AZ,12,FALSE),"hh:mm"), "-", TEXT(VLOOKUP(B283,Jun!B:AZ,13,FALSE),"[hh]:mm")," Uhr "),"")), IF(VLOOKUP(B283,Jun!B:AZ,6,FALSE)="","",VLOOKUP(VLOOKUP(B283,Jun!B:AZ,6,FALSE),Legende_Code,2,FALSE)))</f>
        <v/>
      </c>
      <c r="E283" s="16" t="str">
        <f>IF(AND(VLOOKUP(B283,Jun!B:AZ,6,FALSE)="", WEEKDAY(B283,2)=6,VLOOKUP(B283,Jun!B:AZ,48,FALSE)&gt;0),VLOOKUP(B283,Jun!B:AZ,48,FALSE)*24,"")</f>
        <v/>
      </c>
      <c r="F283" s="16" t="str">
        <f>IF(AND(VLOOKUP(B283,Jun!B:AZ,6,FALSE)="", WEEKDAY(B283,2)=7,VLOOKUP(B283,Jun!B:AZ,49,FALSE)&gt;0),VLOOKUP(B283,Jun!B:AZ,49,FALSE)*24,"")</f>
        <v/>
      </c>
      <c r="G283" s="16" t="str">
        <f>IF(AND(VLOOKUP(B283,Jun!B:AZ,6,FALSE)="",VLOOKUP(B283,Jun!B:AZ,46,FALSE)&gt;0),VLOOKUP(B283,Jun!B:AZ,46,FALSE)*24,"")</f>
        <v/>
      </c>
      <c r="H283" s="36" t="str">
        <f>IF(AND(VLOOKUP(B283,Jun!B:AZ,6,FALSE)="",VLOOKUP(B283,Jun!B:AZ,50,FALSE)&gt;0),VLOOKUP(B283,Jun!B:AZ,50,FALSE)*24,"")</f>
        <v/>
      </c>
      <c r="I283" s="30" t="str">
        <f>IF(AND(NETWORKDAYS(B283,B283,Feiertage)=1,VLOOKUP(B283,Jun!B:AZ,6,FALSE)="U"),"Urlaub","")</f>
        <v/>
      </c>
      <c r="J283" s="34" t="str">
        <f>IF(AND(VLOOKUP(B283,Jun!B:AZ,6,FALSE)="",VLOOKUP(B283,Jun!B:AZ,22,FALSE)&lt;0),"Absetzen von","")</f>
        <v/>
      </c>
      <c r="K283" s="263"/>
      <c r="M283" s="316" t="str">
        <f>IF(VLOOKUP(B283,Jun!B:AZ,22,FALSE)&lt;&gt;0,VLOOKUP(B283,Jun!B:AZ,22,FALSE),"")</f>
        <v/>
      </c>
      <c r="N283" s="327"/>
    </row>
    <row r="284" spans="2:14" x14ac:dyDescent="0.25">
      <c r="B284" s="245">
        <f>Jun!F18</f>
        <v>42165</v>
      </c>
      <c r="C284" s="35">
        <f t="shared" si="3"/>
        <v>42165</v>
      </c>
      <c r="D284" s="17" t="str">
        <f>IF(AND(VLOOKUP(B284,Jun!B:AZ,8,FALSE)&gt;0,VLOOKUP(B284,Jun!B:AZ,6,FALSE)=""), CONCATENATE(TEXT(VLOOKUP(B284,Jun!B:AZ,7,FALSE),"hh:mm"), "-", TEXT(VLOOKUP(B284,Jun!B:AZ,8,FALSE),"[hh]:mm")," Uhr ", IF(VLOOKUP(B284,Jun!B:AZ,12,FALSE)&gt;0, CONCATENATE("und ",TEXT(VLOOKUP(B284,Jun!B:AZ,12,FALSE),"hh:mm"), "-", TEXT(VLOOKUP(B284,Jun!B:AZ,13,FALSE),"[hh]:mm")," Uhr "),"")), IF(VLOOKUP(B284,Jun!B:AZ,6,FALSE)="","",VLOOKUP(VLOOKUP(B284,Jun!B:AZ,6,FALSE),Legende_Code,2,FALSE)))</f>
        <v/>
      </c>
      <c r="E284" s="16" t="str">
        <f>IF(AND(VLOOKUP(B284,Jun!B:AZ,6,FALSE)="", WEEKDAY(B284,2)=6,VLOOKUP(B284,Jun!B:AZ,48,FALSE)&gt;0),VLOOKUP(B284,Jun!B:AZ,48,FALSE)*24,"")</f>
        <v/>
      </c>
      <c r="F284" s="16" t="str">
        <f>IF(AND(VLOOKUP(B284,Jun!B:AZ,6,FALSE)="", WEEKDAY(B284,2)=7,VLOOKUP(B284,Jun!B:AZ,49,FALSE)&gt;0),VLOOKUP(B284,Jun!B:AZ,49,FALSE)*24,"")</f>
        <v/>
      </c>
      <c r="G284" s="16" t="str">
        <f>IF(AND(VLOOKUP(B284,Jun!B:AZ,6,FALSE)="",VLOOKUP(B284,Jun!B:AZ,46,FALSE)&gt;0),VLOOKUP(B284,Jun!B:AZ,46,FALSE)*24,"")</f>
        <v/>
      </c>
      <c r="H284" s="36" t="str">
        <f>IF(AND(VLOOKUP(B284,Jun!B:AZ,6,FALSE)="",VLOOKUP(B284,Jun!B:AZ,50,FALSE)&gt;0),VLOOKUP(B284,Jun!B:AZ,50,FALSE)*24,"")</f>
        <v/>
      </c>
      <c r="I284" s="30" t="str">
        <f>IF(AND(NETWORKDAYS(B284,B284,Feiertage)=1,VLOOKUP(B284,Jun!B:AZ,6,FALSE)="U"),"Urlaub","")</f>
        <v/>
      </c>
      <c r="J284" s="34" t="str">
        <f ca="1">IF(AND(VLOOKUP(B284,Jun!B:AZ,6,FALSE)="",VLOOKUP(B284,Jun!B:AZ,22,FALSE)&lt;0),"Absetzen von","")</f>
        <v/>
      </c>
      <c r="K284" s="263"/>
      <c r="M284" s="316" t="str">
        <f ca="1">IF(VLOOKUP(B284,Jun!B:AZ,22,FALSE)&lt;&gt;0,VLOOKUP(B284,Jun!B:AZ,22,FALSE),"")</f>
        <v/>
      </c>
      <c r="N284" s="327"/>
    </row>
    <row r="285" spans="2:14" x14ac:dyDescent="0.25">
      <c r="B285" s="245">
        <f>Jun!F19</f>
        <v>42166</v>
      </c>
      <c r="C285" s="35">
        <f t="shared" si="3"/>
        <v>42166</v>
      </c>
      <c r="D285" s="17" t="str">
        <f>IF(AND(VLOOKUP(B285,Jun!B:AZ,8,FALSE)&gt;0,VLOOKUP(B285,Jun!B:AZ,6,FALSE)=""), CONCATENATE(TEXT(VLOOKUP(B285,Jun!B:AZ,7,FALSE),"hh:mm"), "-", TEXT(VLOOKUP(B285,Jun!B:AZ,8,FALSE),"[hh]:mm")," Uhr ", IF(VLOOKUP(B285,Jun!B:AZ,12,FALSE)&gt;0, CONCATENATE("und ",TEXT(VLOOKUP(B285,Jun!B:AZ,12,FALSE),"hh:mm"), "-", TEXT(VLOOKUP(B285,Jun!B:AZ,13,FALSE),"[hh]:mm")," Uhr "),"")), IF(VLOOKUP(B285,Jun!B:AZ,6,FALSE)="","",VLOOKUP(VLOOKUP(B285,Jun!B:AZ,6,FALSE),Legende_Code,2,FALSE)))</f>
        <v/>
      </c>
      <c r="E285" s="16" t="str">
        <f>IF(AND(VLOOKUP(B285,Jun!B:AZ,6,FALSE)="", WEEKDAY(B285,2)=6,VLOOKUP(B285,Jun!B:AZ,48,FALSE)&gt;0),VLOOKUP(B285,Jun!B:AZ,48,FALSE)*24,"")</f>
        <v/>
      </c>
      <c r="F285" s="16" t="str">
        <f>IF(AND(VLOOKUP(B285,Jun!B:AZ,6,FALSE)="", WEEKDAY(B285,2)=7,VLOOKUP(B285,Jun!B:AZ,49,FALSE)&gt;0),VLOOKUP(B285,Jun!B:AZ,49,FALSE)*24,"")</f>
        <v/>
      </c>
      <c r="G285" s="16" t="str">
        <f>IF(AND(VLOOKUP(B285,Jun!B:AZ,6,FALSE)="",VLOOKUP(B285,Jun!B:AZ,46,FALSE)&gt;0),VLOOKUP(B285,Jun!B:AZ,46,FALSE)*24,"")</f>
        <v/>
      </c>
      <c r="H285" s="36" t="str">
        <f>IF(AND(VLOOKUP(B285,Jun!B:AZ,6,FALSE)="",VLOOKUP(B285,Jun!B:AZ,50,FALSE)&gt;0),VLOOKUP(B285,Jun!B:AZ,50,FALSE)*24,"")</f>
        <v/>
      </c>
      <c r="I285" s="30" t="str">
        <f>IF(AND(NETWORKDAYS(B285,B285,Feiertage)=1,VLOOKUP(B285,Jun!B:AZ,6,FALSE)="U"),"Urlaub","")</f>
        <v/>
      </c>
      <c r="J285" s="34" t="str">
        <f ca="1">IF(AND(VLOOKUP(B285,Jun!B:AZ,6,FALSE)="",VLOOKUP(B285,Jun!B:AZ,22,FALSE)&lt;0),"Absetzen von","")</f>
        <v/>
      </c>
      <c r="K285" s="263"/>
      <c r="M285" s="316" t="str">
        <f ca="1">IF(VLOOKUP(B285,Jun!B:AZ,22,FALSE)&lt;&gt;0,VLOOKUP(B285,Jun!B:AZ,22,FALSE),"")</f>
        <v/>
      </c>
      <c r="N285" s="327"/>
    </row>
    <row r="286" spans="2:14" x14ac:dyDescent="0.25">
      <c r="B286" s="245">
        <f>Jun!F20</f>
        <v>42167</v>
      </c>
      <c r="C286" s="35">
        <f t="shared" si="3"/>
        <v>42167</v>
      </c>
      <c r="D286" s="17" t="str">
        <f>IF(AND(VLOOKUP(B286,Jun!B:AZ,8,FALSE)&gt;0,VLOOKUP(B286,Jun!B:AZ,6,FALSE)=""), CONCATENATE(TEXT(VLOOKUP(B286,Jun!B:AZ,7,FALSE),"hh:mm"), "-", TEXT(VLOOKUP(B286,Jun!B:AZ,8,FALSE),"[hh]:mm")," Uhr ", IF(VLOOKUP(B286,Jun!B:AZ,12,FALSE)&gt;0, CONCATENATE("und ",TEXT(VLOOKUP(B286,Jun!B:AZ,12,FALSE),"hh:mm"), "-", TEXT(VLOOKUP(B286,Jun!B:AZ,13,FALSE),"[hh]:mm")," Uhr "),"")), IF(VLOOKUP(B286,Jun!B:AZ,6,FALSE)="","",VLOOKUP(VLOOKUP(B286,Jun!B:AZ,6,FALSE),Legende_Code,2,FALSE)))</f>
        <v/>
      </c>
      <c r="E286" s="16" t="str">
        <f>IF(AND(VLOOKUP(B286,Jun!B:AZ,6,FALSE)="", WEEKDAY(B286,2)=6,VLOOKUP(B286,Jun!B:AZ,48,FALSE)&gt;0),VLOOKUP(B286,Jun!B:AZ,48,FALSE)*24,"")</f>
        <v/>
      </c>
      <c r="F286" s="16" t="str">
        <f>IF(AND(VLOOKUP(B286,Jun!B:AZ,6,FALSE)="", WEEKDAY(B286,2)=7,VLOOKUP(B286,Jun!B:AZ,49,FALSE)&gt;0),VLOOKUP(B286,Jun!B:AZ,49,FALSE)*24,"")</f>
        <v/>
      </c>
      <c r="G286" s="16" t="str">
        <f>IF(AND(VLOOKUP(B286,Jun!B:AZ,6,FALSE)="",VLOOKUP(B286,Jun!B:AZ,46,FALSE)&gt;0),VLOOKUP(B286,Jun!B:AZ,46,FALSE)*24,"")</f>
        <v/>
      </c>
      <c r="H286" s="36" t="str">
        <f>IF(AND(VLOOKUP(B286,Jun!B:AZ,6,FALSE)="",VLOOKUP(B286,Jun!B:AZ,50,FALSE)&gt;0),VLOOKUP(B286,Jun!B:AZ,50,FALSE)*24,"")</f>
        <v/>
      </c>
      <c r="I286" s="30" t="str">
        <f>IF(AND(NETWORKDAYS(B286,B286,Feiertage)=1,VLOOKUP(B286,Jun!B:AZ,6,FALSE)="U"),"Urlaub","")</f>
        <v/>
      </c>
      <c r="J286" s="34" t="str">
        <f ca="1">IF(AND(VLOOKUP(B286,Jun!B:AZ,6,FALSE)="",VLOOKUP(B286,Jun!B:AZ,22,FALSE)&lt;0),"Absetzen von","")</f>
        <v/>
      </c>
      <c r="K286" s="263"/>
      <c r="M286" s="316" t="str">
        <f ca="1">IF(VLOOKUP(B286,Jun!B:AZ,22,FALSE)&lt;&gt;0,VLOOKUP(B286,Jun!B:AZ,22,FALSE),"")</f>
        <v/>
      </c>
      <c r="N286" s="327"/>
    </row>
    <row r="287" spans="2:14" x14ac:dyDescent="0.25">
      <c r="B287" s="245">
        <f>Jun!F21</f>
        <v>42168</v>
      </c>
      <c r="C287" s="35">
        <f t="shared" si="3"/>
        <v>42168</v>
      </c>
      <c r="D287" s="17" t="str">
        <f>IF(AND(VLOOKUP(B287,Jun!B:AZ,8,FALSE)&gt;0,VLOOKUP(B287,Jun!B:AZ,6,FALSE)=""), CONCATENATE(TEXT(VLOOKUP(B287,Jun!B:AZ,7,FALSE),"hh:mm"), "-", TEXT(VLOOKUP(B287,Jun!B:AZ,8,FALSE),"[hh]:mm")," Uhr ", IF(VLOOKUP(B287,Jun!B:AZ,12,FALSE)&gt;0, CONCATENATE("und ",TEXT(VLOOKUP(B287,Jun!B:AZ,12,FALSE),"hh:mm"), "-", TEXT(VLOOKUP(B287,Jun!B:AZ,13,FALSE),"[hh]:mm")," Uhr "),"")), IF(VLOOKUP(B287,Jun!B:AZ,6,FALSE)="","",VLOOKUP(VLOOKUP(B287,Jun!B:AZ,6,FALSE),Legende_Code,2,FALSE)))</f>
        <v/>
      </c>
      <c r="E287" s="16" t="str">
        <f>IF(AND(VLOOKUP(B287,Jun!B:AZ,6,FALSE)="", WEEKDAY(B287,2)=6,VLOOKUP(B287,Jun!B:AZ,48,FALSE)&gt;0),VLOOKUP(B287,Jun!B:AZ,48,FALSE)*24,"")</f>
        <v/>
      </c>
      <c r="F287" s="16" t="str">
        <f>IF(AND(VLOOKUP(B287,Jun!B:AZ,6,FALSE)="", WEEKDAY(B287,2)=7,VLOOKUP(B287,Jun!B:AZ,49,FALSE)&gt;0),VLOOKUP(B287,Jun!B:AZ,49,FALSE)*24,"")</f>
        <v/>
      </c>
      <c r="G287" s="16" t="str">
        <f>IF(AND(VLOOKUP(B287,Jun!B:AZ,6,FALSE)="",VLOOKUP(B287,Jun!B:AZ,46,FALSE)&gt;0),VLOOKUP(B287,Jun!B:AZ,46,FALSE)*24,"")</f>
        <v/>
      </c>
      <c r="H287" s="36" t="str">
        <f>IF(AND(VLOOKUP(B287,Jun!B:AZ,6,FALSE)="",VLOOKUP(B287,Jun!B:AZ,50,FALSE)&gt;0),VLOOKUP(B287,Jun!B:AZ,50,FALSE)*24,"")</f>
        <v/>
      </c>
      <c r="I287" s="30" t="str">
        <f>IF(AND(NETWORKDAYS(B287,B287,Feiertage)=1,VLOOKUP(B287,Jun!B:AZ,6,FALSE)="U"),"Urlaub","")</f>
        <v/>
      </c>
      <c r="J287" s="34" t="str">
        <f ca="1">IF(AND(VLOOKUP(B287,Jun!B:AZ,6,FALSE)="",VLOOKUP(B287,Jun!B:AZ,22,FALSE)&lt;0),"Absetzen von","")</f>
        <v/>
      </c>
      <c r="K287" s="263"/>
      <c r="M287" s="316" t="str">
        <f ca="1">IF(VLOOKUP(B287,Jun!B:AZ,22,FALSE)&lt;&gt;0,VLOOKUP(B287,Jun!B:AZ,22,FALSE),"")</f>
        <v/>
      </c>
      <c r="N287" s="327"/>
    </row>
    <row r="288" spans="2:14" x14ac:dyDescent="0.25">
      <c r="B288" s="245">
        <f>Jun!F22</f>
        <v>42169</v>
      </c>
      <c r="C288" s="35">
        <f t="shared" si="3"/>
        <v>42169</v>
      </c>
      <c r="D288" s="17" t="str">
        <f>IF(AND(VLOOKUP(B288,Jun!B:AZ,8,FALSE)&gt;0,VLOOKUP(B288,Jun!B:AZ,6,FALSE)=""), CONCATENATE(TEXT(VLOOKUP(B288,Jun!B:AZ,7,FALSE),"hh:mm"), "-", TEXT(VLOOKUP(B288,Jun!B:AZ,8,FALSE),"[hh]:mm")," Uhr ", IF(VLOOKUP(B288,Jun!B:AZ,12,FALSE)&gt;0, CONCATENATE("und ",TEXT(VLOOKUP(B288,Jun!B:AZ,12,FALSE),"hh:mm"), "-", TEXT(VLOOKUP(B288,Jun!B:AZ,13,FALSE),"[hh]:mm")," Uhr "),"")), IF(VLOOKUP(B288,Jun!B:AZ,6,FALSE)="","",VLOOKUP(VLOOKUP(B288,Jun!B:AZ,6,FALSE),Legende_Code,2,FALSE)))</f>
        <v/>
      </c>
      <c r="E288" s="16" t="str">
        <f>IF(AND(VLOOKUP(B288,Jun!B:AZ,6,FALSE)="", WEEKDAY(B288,2)=6,VLOOKUP(B288,Jun!B:AZ,48,FALSE)&gt;0),VLOOKUP(B288,Jun!B:AZ,48,FALSE)*24,"")</f>
        <v/>
      </c>
      <c r="F288" s="16" t="str">
        <f>IF(AND(VLOOKUP(B288,Jun!B:AZ,6,FALSE)="", WEEKDAY(B288,2)=7,VLOOKUP(B288,Jun!B:AZ,49,FALSE)&gt;0),VLOOKUP(B288,Jun!B:AZ,49,FALSE)*24,"")</f>
        <v/>
      </c>
      <c r="G288" s="16" t="str">
        <f>IF(AND(VLOOKUP(B288,Jun!B:AZ,6,FALSE)="",VLOOKUP(B288,Jun!B:AZ,46,FALSE)&gt;0),VLOOKUP(B288,Jun!B:AZ,46,FALSE)*24,"")</f>
        <v/>
      </c>
      <c r="H288" s="36" t="str">
        <f>IF(AND(VLOOKUP(B288,Jun!B:AZ,6,FALSE)="",VLOOKUP(B288,Jun!B:AZ,50,FALSE)&gt;0),VLOOKUP(B288,Jun!B:AZ,50,FALSE)*24,"")</f>
        <v/>
      </c>
      <c r="I288" s="30" t="str">
        <f>IF(AND(NETWORKDAYS(B288,B288,Feiertage)=1,VLOOKUP(B288,Jun!B:AZ,6,FALSE)="U"),"Urlaub","")</f>
        <v/>
      </c>
      <c r="J288" s="34" t="str">
        <f ca="1">IF(AND(VLOOKUP(B288,Jun!B:AZ,6,FALSE)="",VLOOKUP(B288,Jun!B:AZ,22,FALSE)&lt;0),"Absetzen von","")</f>
        <v/>
      </c>
      <c r="K288" s="263"/>
      <c r="M288" s="316" t="str">
        <f ca="1">IF(VLOOKUP(B288,Jun!B:AZ,22,FALSE)&lt;&gt;0,VLOOKUP(B288,Jun!B:AZ,22,FALSE),"")</f>
        <v/>
      </c>
      <c r="N288" s="327"/>
    </row>
    <row r="289" spans="2:14" x14ac:dyDescent="0.25">
      <c r="B289" s="245">
        <f>Jun!F23</f>
        <v>42170</v>
      </c>
      <c r="C289" s="35">
        <f t="shared" si="3"/>
        <v>42170</v>
      </c>
      <c r="D289" s="17" t="str">
        <f>IF(AND(VLOOKUP(B289,Jun!B:AZ,8,FALSE)&gt;0,VLOOKUP(B289,Jun!B:AZ,6,FALSE)=""), CONCATENATE(TEXT(VLOOKUP(B289,Jun!B:AZ,7,FALSE),"hh:mm"), "-", TEXT(VLOOKUP(B289,Jun!B:AZ,8,FALSE),"[hh]:mm")," Uhr ", IF(VLOOKUP(B289,Jun!B:AZ,12,FALSE)&gt;0, CONCATENATE("und ",TEXT(VLOOKUP(B289,Jun!B:AZ,12,FALSE),"hh:mm"), "-", TEXT(VLOOKUP(B289,Jun!B:AZ,13,FALSE),"[hh]:mm")," Uhr "),"")), IF(VLOOKUP(B289,Jun!B:AZ,6,FALSE)="","",VLOOKUP(VLOOKUP(B289,Jun!B:AZ,6,FALSE),Legende_Code,2,FALSE)))</f>
        <v/>
      </c>
      <c r="E289" s="16" t="str">
        <f>IF(AND(VLOOKUP(B289,Jun!B:AZ,6,FALSE)="", WEEKDAY(B289,2)=6,VLOOKUP(B289,Jun!B:AZ,48,FALSE)&gt;0),VLOOKUP(B289,Jun!B:AZ,48,FALSE)*24,"")</f>
        <v/>
      </c>
      <c r="F289" s="16" t="str">
        <f>IF(AND(VLOOKUP(B289,Jun!B:AZ,6,FALSE)="", WEEKDAY(B289,2)=7,VLOOKUP(B289,Jun!B:AZ,49,FALSE)&gt;0),VLOOKUP(B289,Jun!B:AZ,49,FALSE)*24,"")</f>
        <v/>
      </c>
      <c r="G289" s="16" t="str">
        <f>IF(AND(VLOOKUP(B289,Jun!B:AZ,6,FALSE)="",VLOOKUP(B289,Jun!B:AZ,46,FALSE)&gt;0),VLOOKUP(B289,Jun!B:AZ,46,FALSE)*24,"")</f>
        <v/>
      </c>
      <c r="H289" s="36" t="str">
        <f>IF(AND(VLOOKUP(B289,Jun!B:AZ,6,FALSE)="",VLOOKUP(B289,Jun!B:AZ,50,FALSE)&gt;0),VLOOKUP(B289,Jun!B:AZ,50,FALSE)*24,"")</f>
        <v/>
      </c>
      <c r="I289" s="30" t="str">
        <f>IF(AND(NETWORKDAYS(B289,B289,Feiertage)=1,VLOOKUP(B289,Jun!B:AZ,6,FALSE)="U"),"Urlaub","")</f>
        <v/>
      </c>
      <c r="J289" s="34" t="str">
        <f ca="1">IF(AND(VLOOKUP(B289,Jun!B:AZ,6,FALSE)="",VLOOKUP(B289,Jun!B:AZ,22,FALSE)&lt;0),"Absetzen von","")</f>
        <v/>
      </c>
      <c r="K289" s="263"/>
      <c r="M289" s="316" t="str">
        <f ca="1">IF(VLOOKUP(B289,Jun!B:AZ,22,FALSE)&lt;&gt;0,VLOOKUP(B289,Jun!B:AZ,22,FALSE),"")</f>
        <v/>
      </c>
      <c r="N289" s="327"/>
    </row>
    <row r="290" spans="2:14" x14ac:dyDescent="0.25">
      <c r="B290" s="245">
        <f>Jun!F24</f>
        <v>42171</v>
      </c>
      <c r="C290" s="35">
        <f t="shared" si="3"/>
        <v>42171</v>
      </c>
      <c r="D290" s="17" t="str">
        <f>IF(AND(VLOOKUP(B290,Jun!B:AZ,8,FALSE)&gt;0,VLOOKUP(B290,Jun!B:AZ,6,FALSE)=""), CONCATENATE(TEXT(VLOOKUP(B290,Jun!B:AZ,7,FALSE),"hh:mm"), "-", TEXT(VLOOKUP(B290,Jun!B:AZ,8,FALSE),"[hh]:mm")," Uhr ", IF(VLOOKUP(B290,Jun!B:AZ,12,FALSE)&gt;0, CONCATENATE("und ",TEXT(VLOOKUP(B290,Jun!B:AZ,12,FALSE),"hh:mm"), "-", TEXT(VLOOKUP(B290,Jun!B:AZ,13,FALSE),"[hh]:mm")," Uhr "),"")), IF(VLOOKUP(B290,Jun!B:AZ,6,FALSE)="","",VLOOKUP(VLOOKUP(B290,Jun!B:AZ,6,FALSE),Legende_Code,2,FALSE)))</f>
        <v/>
      </c>
      <c r="E290" s="16" t="str">
        <f>IF(AND(VLOOKUP(B290,Jun!B:AZ,6,FALSE)="", WEEKDAY(B290,2)=6,VLOOKUP(B290,Jun!B:AZ,48,FALSE)&gt;0),VLOOKUP(B290,Jun!B:AZ,48,FALSE)*24,"")</f>
        <v/>
      </c>
      <c r="F290" s="16" t="str">
        <f>IF(AND(VLOOKUP(B290,Jun!B:AZ,6,FALSE)="", WEEKDAY(B290,2)=7,VLOOKUP(B290,Jun!B:AZ,49,FALSE)&gt;0),VLOOKUP(B290,Jun!B:AZ,49,FALSE)*24,"")</f>
        <v/>
      </c>
      <c r="G290" s="16" t="str">
        <f>IF(AND(VLOOKUP(B290,Jun!B:AZ,6,FALSE)="",VLOOKUP(B290,Jun!B:AZ,46,FALSE)&gt;0),VLOOKUP(B290,Jun!B:AZ,46,FALSE)*24,"")</f>
        <v/>
      </c>
      <c r="H290" s="36" t="str">
        <f>IF(AND(VLOOKUP(B290,Jun!B:AZ,6,FALSE)="",VLOOKUP(B290,Jun!B:AZ,50,FALSE)&gt;0),VLOOKUP(B290,Jun!B:AZ,50,FALSE)*24,"")</f>
        <v/>
      </c>
      <c r="I290" s="30" t="str">
        <f>IF(AND(NETWORKDAYS(B290,B290,Feiertage)=1,VLOOKUP(B290,Jun!B:AZ,6,FALSE)="U"),"Urlaub","")</f>
        <v/>
      </c>
      <c r="J290" s="34" t="str">
        <f ca="1">IF(AND(VLOOKUP(B290,Jun!B:AZ,6,FALSE)="",VLOOKUP(B290,Jun!B:AZ,22,FALSE)&lt;0),"Absetzen von","")</f>
        <v/>
      </c>
      <c r="K290" s="263"/>
      <c r="M290" s="316" t="str">
        <f ca="1">IF(VLOOKUP(B290,Jun!B:AZ,22,FALSE)&lt;&gt;0,VLOOKUP(B290,Jun!B:AZ,22,FALSE),"")</f>
        <v/>
      </c>
      <c r="N290" s="327"/>
    </row>
    <row r="291" spans="2:14" x14ac:dyDescent="0.25">
      <c r="B291" s="245">
        <f>Jun!F25</f>
        <v>42172</v>
      </c>
      <c r="C291" s="35">
        <f t="shared" si="3"/>
        <v>42172</v>
      </c>
      <c r="D291" s="17" t="str">
        <f>IF(AND(VLOOKUP(B291,Jun!B:AZ,8,FALSE)&gt;0,VLOOKUP(B291,Jun!B:AZ,6,FALSE)=""), CONCATENATE(TEXT(VLOOKUP(B291,Jun!B:AZ,7,FALSE),"hh:mm"), "-", TEXT(VLOOKUP(B291,Jun!B:AZ,8,FALSE),"[hh]:mm")," Uhr ", IF(VLOOKUP(B291,Jun!B:AZ,12,FALSE)&gt;0, CONCATENATE("und ",TEXT(VLOOKUP(B291,Jun!B:AZ,12,FALSE),"hh:mm"), "-", TEXT(VLOOKUP(B291,Jun!B:AZ,13,FALSE),"[hh]:mm")," Uhr "),"")), IF(VLOOKUP(B291,Jun!B:AZ,6,FALSE)="","",VLOOKUP(VLOOKUP(B291,Jun!B:AZ,6,FALSE),Legende_Code,2,FALSE)))</f>
        <v/>
      </c>
      <c r="E291" s="16" t="str">
        <f>IF(AND(VLOOKUP(B291,Jun!B:AZ,6,FALSE)="", WEEKDAY(B291,2)=6,VLOOKUP(B291,Jun!B:AZ,48,FALSE)&gt;0),VLOOKUP(B291,Jun!B:AZ,48,FALSE)*24,"")</f>
        <v/>
      </c>
      <c r="F291" s="16" t="str">
        <f>IF(AND(VLOOKUP(B291,Jun!B:AZ,6,FALSE)="", WEEKDAY(B291,2)=7,VLOOKUP(B291,Jun!B:AZ,49,FALSE)&gt;0),VLOOKUP(B291,Jun!B:AZ,49,FALSE)*24,"")</f>
        <v/>
      </c>
      <c r="G291" s="16" t="str">
        <f>IF(AND(VLOOKUP(B291,Jun!B:AZ,6,FALSE)="",VLOOKUP(B291,Jun!B:AZ,46,FALSE)&gt;0),VLOOKUP(B291,Jun!B:AZ,46,FALSE)*24,"")</f>
        <v/>
      </c>
      <c r="H291" s="36" t="str">
        <f>IF(AND(VLOOKUP(B291,Jun!B:AZ,6,FALSE)="",VLOOKUP(B291,Jun!B:AZ,50,FALSE)&gt;0),VLOOKUP(B291,Jun!B:AZ,50,FALSE)*24,"")</f>
        <v/>
      </c>
      <c r="I291" s="30" t="str">
        <f>IF(AND(NETWORKDAYS(B291,B291,Feiertage)=1,VLOOKUP(B291,Jun!B:AZ,6,FALSE)="U"),"Urlaub","")</f>
        <v/>
      </c>
      <c r="J291" s="34" t="str">
        <f ca="1">IF(AND(VLOOKUP(B291,Jun!B:AZ,6,FALSE)="",VLOOKUP(B291,Jun!B:AZ,22,FALSE)&lt;0),"Absetzen von","")</f>
        <v/>
      </c>
      <c r="K291" s="263"/>
      <c r="M291" s="316" t="str">
        <f ca="1">IF(VLOOKUP(B291,Jun!B:AZ,22,FALSE)&lt;&gt;0,VLOOKUP(B291,Jun!B:AZ,22,FALSE),"")</f>
        <v/>
      </c>
      <c r="N291" s="327"/>
    </row>
    <row r="292" spans="2:14" x14ac:dyDescent="0.25">
      <c r="B292" s="245">
        <f>Jun!F26</f>
        <v>42173</v>
      </c>
      <c r="C292" s="35">
        <f t="shared" si="3"/>
        <v>42173</v>
      </c>
      <c r="D292" s="17" t="str">
        <f>IF(AND(VLOOKUP(B292,Jun!B:AZ,8,FALSE)&gt;0,VLOOKUP(B292,Jun!B:AZ,6,FALSE)=""), CONCATENATE(TEXT(VLOOKUP(B292,Jun!B:AZ,7,FALSE),"hh:mm"), "-", TEXT(VLOOKUP(B292,Jun!B:AZ,8,FALSE),"[hh]:mm")," Uhr ", IF(VLOOKUP(B292,Jun!B:AZ,12,FALSE)&gt;0, CONCATENATE("und ",TEXT(VLOOKUP(B292,Jun!B:AZ,12,FALSE),"hh:mm"), "-", TEXT(VLOOKUP(B292,Jun!B:AZ,13,FALSE),"[hh]:mm")," Uhr "),"")), IF(VLOOKUP(B292,Jun!B:AZ,6,FALSE)="","",VLOOKUP(VLOOKUP(B292,Jun!B:AZ,6,FALSE),Legende_Code,2,FALSE)))</f>
        <v/>
      </c>
      <c r="E292" s="16" t="str">
        <f>IF(AND(VLOOKUP(B292,Jun!B:AZ,6,FALSE)="", WEEKDAY(B292,2)=6,VLOOKUP(B292,Jun!B:AZ,48,FALSE)&gt;0),VLOOKUP(B292,Jun!B:AZ,48,FALSE)*24,"")</f>
        <v/>
      </c>
      <c r="F292" s="16" t="str">
        <f>IF(AND(VLOOKUP(B292,Jun!B:AZ,6,FALSE)="", WEEKDAY(B292,2)=7,VLOOKUP(B292,Jun!B:AZ,49,FALSE)&gt;0),VLOOKUP(B292,Jun!B:AZ,49,FALSE)*24,"")</f>
        <v/>
      </c>
      <c r="G292" s="16" t="str">
        <f>IF(AND(VLOOKUP(B292,Jun!B:AZ,6,FALSE)="",VLOOKUP(B292,Jun!B:AZ,46,FALSE)&gt;0),VLOOKUP(B292,Jun!B:AZ,46,FALSE)*24,"")</f>
        <v/>
      </c>
      <c r="H292" s="36" t="str">
        <f>IF(AND(VLOOKUP(B292,Jun!B:AZ,6,FALSE)="",VLOOKUP(B292,Jun!B:AZ,50,FALSE)&gt;0),VLOOKUP(B292,Jun!B:AZ,50,FALSE)*24,"")</f>
        <v/>
      </c>
      <c r="I292" s="30" t="str">
        <f>IF(AND(NETWORKDAYS(B292,B292,Feiertage)=1,VLOOKUP(B292,Jun!B:AZ,6,FALSE)="U"),"Urlaub","")</f>
        <v/>
      </c>
      <c r="J292" s="34" t="str">
        <f ca="1">IF(AND(VLOOKUP(B292,Jun!B:AZ,6,FALSE)="",VLOOKUP(B292,Jun!B:AZ,22,FALSE)&lt;0),"Absetzen von","")</f>
        <v/>
      </c>
      <c r="K292" s="263"/>
      <c r="M292" s="316" t="str">
        <f ca="1">IF(VLOOKUP(B292,Jun!B:AZ,22,FALSE)&lt;&gt;0,VLOOKUP(B292,Jun!B:AZ,22,FALSE),"")</f>
        <v/>
      </c>
      <c r="N292" s="327"/>
    </row>
    <row r="293" spans="2:14" x14ac:dyDescent="0.25">
      <c r="B293" s="245">
        <f>Jun!F27</f>
        <v>42174</v>
      </c>
      <c r="C293" s="35">
        <f t="shared" si="3"/>
        <v>42174</v>
      </c>
      <c r="D293" s="17" t="str">
        <f>IF(AND(VLOOKUP(B293,Jun!B:AZ,8,FALSE)&gt;0,VLOOKUP(B293,Jun!B:AZ,6,FALSE)=""), CONCATENATE(TEXT(VLOOKUP(B293,Jun!B:AZ,7,FALSE),"hh:mm"), "-", TEXT(VLOOKUP(B293,Jun!B:AZ,8,FALSE),"[hh]:mm")," Uhr ", IF(VLOOKUP(B293,Jun!B:AZ,12,FALSE)&gt;0, CONCATENATE("und ",TEXT(VLOOKUP(B293,Jun!B:AZ,12,FALSE),"hh:mm"), "-", TEXT(VLOOKUP(B293,Jun!B:AZ,13,FALSE),"[hh]:mm")," Uhr "),"")), IF(VLOOKUP(B293,Jun!B:AZ,6,FALSE)="","",VLOOKUP(VLOOKUP(B293,Jun!B:AZ,6,FALSE),Legende_Code,2,FALSE)))</f>
        <v/>
      </c>
      <c r="E293" s="16" t="str">
        <f>IF(AND(VLOOKUP(B293,Jun!B:AZ,6,FALSE)="", WEEKDAY(B293,2)=6,VLOOKUP(B293,Jun!B:AZ,48,FALSE)&gt;0),VLOOKUP(B293,Jun!B:AZ,48,FALSE)*24,"")</f>
        <v/>
      </c>
      <c r="F293" s="16" t="str">
        <f>IF(AND(VLOOKUP(B293,Jun!B:AZ,6,FALSE)="", WEEKDAY(B293,2)=7,VLOOKUP(B293,Jun!B:AZ,49,FALSE)&gt;0),VLOOKUP(B293,Jun!B:AZ,49,FALSE)*24,"")</f>
        <v/>
      </c>
      <c r="G293" s="16" t="str">
        <f>IF(AND(VLOOKUP(B293,Jun!B:AZ,6,FALSE)="",VLOOKUP(B293,Jun!B:AZ,46,FALSE)&gt;0),VLOOKUP(B293,Jun!B:AZ,46,FALSE)*24,"")</f>
        <v/>
      </c>
      <c r="H293" s="36" t="str">
        <f>IF(AND(VLOOKUP(B293,Jun!B:AZ,6,FALSE)="",VLOOKUP(B293,Jun!B:AZ,50,FALSE)&gt;0),VLOOKUP(B293,Jun!B:AZ,50,FALSE)*24,"")</f>
        <v/>
      </c>
      <c r="I293" s="30" t="str">
        <f>IF(AND(NETWORKDAYS(B293,B293,Feiertage)=1,VLOOKUP(B293,Jun!B:AZ,6,FALSE)="U"),"Urlaub","")</f>
        <v/>
      </c>
      <c r="J293" s="34" t="str">
        <f ca="1">IF(AND(VLOOKUP(B293,Jun!B:AZ,6,FALSE)="",VLOOKUP(B293,Jun!B:AZ,22,FALSE)&lt;0),"Absetzen von","")</f>
        <v/>
      </c>
      <c r="K293" s="263"/>
      <c r="M293" s="316" t="str">
        <f ca="1">IF(VLOOKUP(B293,Jun!B:AZ,22,FALSE)&lt;&gt;0,VLOOKUP(B293,Jun!B:AZ,22,FALSE),"")</f>
        <v/>
      </c>
      <c r="N293" s="327"/>
    </row>
    <row r="294" spans="2:14" x14ac:dyDescent="0.25">
      <c r="B294" s="245">
        <f>Jun!F28</f>
        <v>42175</v>
      </c>
      <c r="C294" s="35">
        <f t="shared" si="3"/>
        <v>42175</v>
      </c>
      <c r="D294" s="17" t="str">
        <f>IF(AND(VLOOKUP(B294,Jun!B:AZ,8,FALSE)&gt;0,VLOOKUP(B294,Jun!B:AZ,6,FALSE)=""), CONCATENATE(TEXT(VLOOKUP(B294,Jun!B:AZ,7,FALSE),"hh:mm"), "-", TEXT(VLOOKUP(B294,Jun!B:AZ,8,FALSE),"[hh]:mm")," Uhr ", IF(VLOOKUP(B294,Jun!B:AZ,12,FALSE)&gt;0, CONCATENATE("und ",TEXT(VLOOKUP(B294,Jun!B:AZ,12,FALSE),"hh:mm"), "-", TEXT(VLOOKUP(B294,Jun!B:AZ,13,FALSE),"[hh]:mm")," Uhr "),"")), IF(VLOOKUP(B294,Jun!B:AZ,6,FALSE)="","",VLOOKUP(VLOOKUP(B294,Jun!B:AZ,6,FALSE),Legende_Code,2,FALSE)))</f>
        <v/>
      </c>
      <c r="E294" s="16" t="str">
        <f>IF(AND(VLOOKUP(B294,Jun!B:AZ,6,FALSE)="", WEEKDAY(B294,2)=6,VLOOKUP(B294,Jun!B:AZ,48,FALSE)&gt;0),VLOOKUP(B294,Jun!B:AZ,48,FALSE)*24,"")</f>
        <v/>
      </c>
      <c r="F294" s="16" t="str">
        <f>IF(AND(VLOOKUP(B294,Jun!B:AZ,6,FALSE)="", WEEKDAY(B294,2)=7,VLOOKUP(B294,Jun!B:AZ,49,FALSE)&gt;0),VLOOKUP(B294,Jun!B:AZ,49,FALSE)*24,"")</f>
        <v/>
      </c>
      <c r="G294" s="16" t="str">
        <f>IF(AND(VLOOKUP(B294,Jun!B:AZ,6,FALSE)="",VLOOKUP(B294,Jun!B:AZ,46,FALSE)&gt;0),VLOOKUP(B294,Jun!B:AZ,46,FALSE)*24,"")</f>
        <v/>
      </c>
      <c r="H294" s="36" t="str">
        <f>IF(AND(VLOOKUP(B294,Jun!B:AZ,6,FALSE)="",VLOOKUP(B294,Jun!B:AZ,50,FALSE)&gt;0),VLOOKUP(B294,Jun!B:AZ,50,FALSE)*24,"")</f>
        <v/>
      </c>
      <c r="I294" s="30" t="str">
        <f>IF(AND(NETWORKDAYS(B294,B294,Feiertage)=1,VLOOKUP(B294,Jun!B:AZ,6,FALSE)="U"),"Urlaub","")</f>
        <v/>
      </c>
      <c r="J294" s="34" t="str">
        <f ca="1">IF(AND(VLOOKUP(B294,Jun!B:AZ,6,FALSE)="",VLOOKUP(B294,Jun!B:AZ,22,FALSE)&lt;0),"Absetzen von","")</f>
        <v/>
      </c>
      <c r="K294" s="263"/>
      <c r="M294" s="316" t="str">
        <f ca="1">IF(VLOOKUP(B294,Jun!B:AZ,22,FALSE)&lt;&gt;0,VLOOKUP(B294,Jun!B:AZ,22,FALSE),"")</f>
        <v/>
      </c>
      <c r="N294" s="327"/>
    </row>
    <row r="295" spans="2:14" x14ac:dyDescent="0.25">
      <c r="B295" s="245">
        <f>Jun!F29</f>
        <v>42176</v>
      </c>
      <c r="C295" s="35">
        <f t="shared" si="3"/>
        <v>42176</v>
      </c>
      <c r="D295" s="17" t="str">
        <f>IF(AND(VLOOKUP(B295,Jun!B:AZ,8,FALSE)&gt;0,VLOOKUP(B295,Jun!B:AZ,6,FALSE)=""), CONCATENATE(TEXT(VLOOKUP(B295,Jun!B:AZ,7,FALSE),"hh:mm"), "-", TEXT(VLOOKUP(B295,Jun!B:AZ,8,FALSE),"[hh]:mm")," Uhr ", IF(VLOOKUP(B295,Jun!B:AZ,12,FALSE)&gt;0, CONCATENATE("und ",TEXT(VLOOKUP(B295,Jun!B:AZ,12,FALSE),"hh:mm"), "-", TEXT(VLOOKUP(B295,Jun!B:AZ,13,FALSE),"[hh]:mm")," Uhr "),"")), IF(VLOOKUP(B295,Jun!B:AZ,6,FALSE)="","",VLOOKUP(VLOOKUP(B295,Jun!B:AZ,6,FALSE),Legende_Code,2,FALSE)))</f>
        <v/>
      </c>
      <c r="E295" s="16" t="str">
        <f>IF(AND(VLOOKUP(B295,Jun!B:AZ,6,FALSE)="", WEEKDAY(B295,2)=6,VLOOKUP(B295,Jun!B:AZ,48,FALSE)&gt;0),VLOOKUP(B295,Jun!B:AZ,48,FALSE)*24,"")</f>
        <v/>
      </c>
      <c r="F295" s="16" t="str">
        <f>IF(AND(VLOOKUP(B295,Jun!B:AZ,6,FALSE)="", WEEKDAY(B295,2)=7,VLOOKUP(B295,Jun!B:AZ,49,FALSE)&gt;0),VLOOKUP(B295,Jun!B:AZ,49,FALSE)*24,"")</f>
        <v/>
      </c>
      <c r="G295" s="16" t="str">
        <f>IF(AND(VLOOKUP(B295,Jun!B:AZ,6,FALSE)="",VLOOKUP(B295,Jun!B:AZ,46,FALSE)&gt;0),VLOOKUP(B295,Jun!B:AZ,46,FALSE)*24,"")</f>
        <v/>
      </c>
      <c r="H295" s="36" t="str">
        <f>IF(AND(VLOOKUP(B295,Jun!B:AZ,6,FALSE)="",VLOOKUP(B295,Jun!B:AZ,50,FALSE)&gt;0),VLOOKUP(B295,Jun!B:AZ,50,FALSE)*24,"")</f>
        <v/>
      </c>
      <c r="I295" s="30" t="str">
        <f>IF(AND(NETWORKDAYS(B295,B295,Feiertage)=1,VLOOKUP(B295,Jun!B:AZ,6,FALSE)="U"),"Urlaub","")</f>
        <v/>
      </c>
      <c r="J295" s="34" t="str">
        <f ca="1">IF(AND(VLOOKUP(B295,Jun!B:AZ,6,FALSE)="",VLOOKUP(B295,Jun!B:AZ,22,FALSE)&lt;0),"Absetzen von","")</f>
        <v/>
      </c>
      <c r="K295" s="263"/>
      <c r="M295" s="316" t="str">
        <f ca="1">IF(VLOOKUP(B295,Jun!B:AZ,22,FALSE)&lt;&gt;0,VLOOKUP(B295,Jun!B:AZ,22,FALSE),"")</f>
        <v/>
      </c>
      <c r="N295" s="327"/>
    </row>
    <row r="296" spans="2:14" x14ac:dyDescent="0.25">
      <c r="B296" s="245">
        <f>Jun!F30</f>
        <v>42177</v>
      </c>
      <c r="C296" s="35">
        <f t="shared" si="3"/>
        <v>42177</v>
      </c>
      <c r="D296" s="17" t="str">
        <f>IF(AND(VLOOKUP(B296,Jun!B:AZ,8,FALSE)&gt;0,VLOOKUP(B296,Jun!B:AZ,6,FALSE)=""), CONCATENATE(TEXT(VLOOKUP(B296,Jun!B:AZ,7,FALSE),"hh:mm"), "-", TEXT(VLOOKUP(B296,Jun!B:AZ,8,FALSE),"[hh]:mm")," Uhr ", IF(VLOOKUP(B296,Jun!B:AZ,12,FALSE)&gt;0, CONCATENATE("und ",TEXT(VLOOKUP(B296,Jun!B:AZ,12,FALSE),"hh:mm"), "-", TEXT(VLOOKUP(B296,Jun!B:AZ,13,FALSE),"[hh]:mm")," Uhr "),"")), IF(VLOOKUP(B296,Jun!B:AZ,6,FALSE)="","",VLOOKUP(VLOOKUP(B296,Jun!B:AZ,6,FALSE),Legende_Code,2,FALSE)))</f>
        <v/>
      </c>
      <c r="E296" s="16" t="str">
        <f>IF(AND(VLOOKUP(B296,Jun!B:AZ,6,FALSE)="", WEEKDAY(B296,2)=6,VLOOKUP(B296,Jun!B:AZ,48,FALSE)&gt;0),VLOOKUP(B296,Jun!B:AZ,48,FALSE)*24,"")</f>
        <v/>
      </c>
      <c r="F296" s="16" t="str">
        <f>IF(AND(VLOOKUP(B296,Jun!B:AZ,6,FALSE)="", WEEKDAY(B296,2)=7,VLOOKUP(B296,Jun!B:AZ,49,FALSE)&gt;0),VLOOKUP(B296,Jun!B:AZ,49,FALSE)*24,"")</f>
        <v/>
      </c>
      <c r="G296" s="16" t="str">
        <f>IF(AND(VLOOKUP(B296,Jun!B:AZ,6,FALSE)="",VLOOKUP(B296,Jun!B:AZ,46,FALSE)&gt;0),VLOOKUP(B296,Jun!B:AZ,46,FALSE)*24,"")</f>
        <v/>
      </c>
      <c r="H296" s="36" t="str">
        <f>IF(AND(VLOOKUP(B296,Jun!B:AZ,6,FALSE)="",VLOOKUP(B296,Jun!B:AZ,50,FALSE)&gt;0),VLOOKUP(B296,Jun!B:AZ,50,FALSE)*24,"")</f>
        <v/>
      </c>
      <c r="I296" s="30" t="str">
        <f>IF(AND(NETWORKDAYS(B296,B296,Feiertage)=1,VLOOKUP(B296,Jun!B:AZ,6,FALSE)="U"),"Urlaub","")</f>
        <v/>
      </c>
      <c r="J296" s="34" t="str">
        <f ca="1">IF(AND(VLOOKUP(B296,Jun!B:AZ,6,FALSE)="",VLOOKUP(B296,Jun!B:AZ,22,FALSE)&lt;0),"Absetzen von","")</f>
        <v/>
      </c>
      <c r="K296" s="263"/>
      <c r="M296" s="316" t="str">
        <f ca="1">IF(VLOOKUP(B296,Jun!B:AZ,22,FALSE)&lt;&gt;0,VLOOKUP(B296,Jun!B:AZ,22,FALSE),"")</f>
        <v/>
      </c>
      <c r="N296" s="327"/>
    </row>
    <row r="297" spans="2:14" x14ac:dyDescent="0.25">
      <c r="B297" s="245">
        <f>Jun!F31</f>
        <v>42178</v>
      </c>
      <c r="C297" s="35">
        <f t="shared" si="3"/>
        <v>42178</v>
      </c>
      <c r="D297" s="17" t="str">
        <f>IF(AND(VLOOKUP(B297,Jun!B:AZ,8,FALSE)&gt;0,VLOOKUP(B297,Jun!B:AZ,6,FALSE)=""), CONCATENATE(TEXT(VLOOKUP(B297,Jun!B:AZ,7,FALSE),"hh:mm"), "-", TEXT(VLOOKUP(B297,Jun!B:AZ,8,FALSE),"[hh]:mm")," Uhr ", IF(VLOOKUP(B297,Jun!B:AZ,12,FALSE)&gt;0, CONCATENATE("und ",TEXT(VLOOKUP(B297,Jun!B:AZ,12,FALSE),"hh:mm"), "-", TEXT(VLOOKUP(B297,Jun!B:AZ,13,FALSE),"[hh]:mm")," Uhr "),"")), IF(VLOOKUP(B297,Jun!B:AZ,6,FALSE)="","",VLOOKUP(VLOOKUP(B297,Jun!B:AZ,6,FALSE),Legende_Code,2,FALSE)))</f>
        <v/>
      </c>
      <c r="E297" s="16" t="str">
        <f>IF(AND(VLOOKUP(B297,Jun!B:AZ,6,FALSE)="", WEEKDAY(B297,2)=6,VLOOKUP(B297,Jun!B:AZ,48,FALSE)&gt;0),VLOOKUP(B297,Jun!B:AZ,48,FALSE)*24,"")</f>
        <v/>
      </c>
      <c r="F297" s="16" t="str">
        <f>IF(AND(VLOOKUP(B297,Jun!B:AZ,6,FALSE)="", WEEKDAY(B297,2)=7,VLOOKUP(B297,Jun!B:AZ,49,FALSE)&gt;0),VLOOKUP(B297,Jun!B:AZ,49,FALSE)*24,"")</f>
        <v/>
      </c>
      <c r="G297" s="16" t="str">
        <f>IF(AND(VLOOKUP(B297,Jun!B:AZ,6,FALSE)="",VLOOKUP(B297,Jun!B:AZ,46,FALSE)&gt;0),VLOOKUP(B297,Jun!B:AZ,46,FALSE)*24,"")</f>
        <v/>
      </c>
      <c r="H297" s="36" t="str">
        <f>IF(AND(VLOOKUP(B297,Jun!B:AZ,6,FALSE)="",VLOOKUP(B297,Jun!B:AZ,50,FALSE)&gt;0),VLOOKUP(B297,Jun!B:AZ,50,FALSE)*24,"")</f>
        <v/>
      </c>
      <c r="I297" s="30" t="str">
        <f>IF(AND(NETWORKDAYS(B297,B297,Feiertage)=1,VLOOKUP(B297,Jun!B:AZ,6,FALSE)="U"),"Urlaub","")</f>
        <v/>
      </c>
      <c r="J297" s="34" t="str">
        <f ca="1">IF(AND(VLOOKUP(B297,Jun!B:AZ,6,FALSE)="",VLOOKUP(B297,Jun!B:AZ,22,FALSE)&lt;0),"Absetzen von","")</f>
        <v/>
      </c>
      <c r="K297" s="263"/>
      <c r="M297" s="316" t="str">
        <f ca="1">IF(VLOOKUP(B297,Jun!B:AZ,22,FALSE)&lt;&gt;0,VLOOKUP(B297,Jun!B:AZ,22,FALSE),"")</f>
        <v/>
      </c>
      <c r="N297" s="327"/>
    </row>
    <row r="298" spans="2:14" x14ac:dyDescent="0.25">
      <c r="B298" s="245">
        <f>Jun!F32</f>
        <v>42179</v>
      </c>
      <c r="C298" s="35">
        <f t="shared" si="3"/>
        <v>42179</v>
      </c>
      <c r="D298" s="17" t="str">
        <f>IF(AND(VLOOKUP(B298,Jun!B:AZ,8,FALSE)&gt;0,VLOOKUP(B298,Jun!B:AZ,6,FALSE)=""), CONCATENATE(TEXT(VLOOKUP(B298,Jun!B:AZ,7,FALSE),"hh:mm"), "-", TEXT(VLOOKUP(B298,Jun!B:AZ,8,FALSE),"[hh]:mm")," Uhr ", IF(VLOOKUP(B298,Jun!B:AZ,12,FALSE)&gt;0, CONCATENATE("und ",TEXT(VLOOKUP(B298,Jun!B:AZ,12,FALSE),"hh:mm"), "-", TEXT(VLOOKUP(B298,Jun!B:AZ,13,FALSE),"[hh]:mm")," Uhr "),"")), IF(VLOOKUP(B298,Jun!B:AZ,6,FALSE)="","",VLOOKUP(VLOOKUP(B298,Jun!B:AZ,6,FALSE),Legende_Code,2,FALSE)))</f>
        <v/>
      </c>
      <c r="E298" s="16" t="str">
        <f>IF(AND(VLOOKUP(B298,Jun!B:AZ,6,FALSE)="", WEEKDAY(B298,2)=6,VLOOKUP(B298,Jun!B:AZ,48,FALSE)&gt;0),VLOOKUP(B298,Jun!B:AZ,48,FALSE)*24,"")</f>
        <v/>
      </c>
      <c r="F298" s="16" t="str">
        <f>IF(AND(VLOOKUP(B298,Jun!B:AZ,6,FALSE)="", WEEKDAY(B298,2)=7,VLOOKUP(B298,Jun!B:AZ,49,FALSE)&gt;0),VLOOKUP(B298,Jun!B:AZ,49,FALSE)*24,"")</f>
        <v/>
      </c>
      <c r="G298" s="16" t="str">
        <f>IF(AND(VLOOKUP(B298,Jun!B:AZ,6,FALSE)="",VLOOKUP(B298,Jun!B:AZ,46,FALSE)&gt;0),VLOOKUP(B298,Jun!B:AZ,46,FALSE)*24,"")</f>
        <v/>
      </c>
      <c r="H298" s="36" t="str">
        <f>IF(AND(VLOOKUP(B298,Jun!B:AZ,6,FALSE)="",VLOOKUP(B298,Jun!B:AZ,50,FALSE)&gt;0),VLOOKUP(B298,Jun!B:AZ,50,FALSE)*24,"")</f>
        <v/>
      </c>
      <c r="I298" s="30" t="str">
        <f>IF(AND(NETWORKDAYS(B298,B298,Feiertage)=1,VLOOKUP(B298,Jun!B:AZ,6,FALSE)="U"),"Urlaub","")</f>
        <v/>
      </c>
      <c r="J298" s="34" t="str">
        <f ca="1">IF(AND(VLOOKUP(B298,Jun!B:AZ,6,FALSE)="",VLOOKUP(B298,Jun!B:AZ,22,FALSE)&lt;0),"Absetzen von","")</f>
        <v/>
      </c>
      <c r="K298" s="263"/>
      <c r="M298" s="316" t="str">
        <f ca="1">IF(VLOOKUP(B298,Jun!B:AZ,22,FALSE)&lt;&gt;0,VLOOKUP(B298,Jun!B:AZ,22,FALSE),"")</f>
        <v/>
      </c>
      <c r="N298" s="327"/>
    </row>
    <row r="299" spans="2:14" x14ac:dyDescent="0.25">
      <c r="B299" s="245">
        <f>Jun!F33</f>
        <v>42180</v>
      </c>
      <c r="C299" s="35">
        <f t="shared" si="3"/>
        <v>42180</v>
      </c>
      <c r="D299" s="17" t="str">
        <f>IF(AND(VLOOKUP(B299,Jun!B:AZ,8,FALSE)&gt;0,VLOOKUP(B299,Jun!B:AZ,6,FALSE)=""), CONCATENATE(TEXT(VLOOKUP(B299,Jun!B:AZ,7,FALSE),"hh:mm"), "-", TEXT(VLOOKUP(B299,Jun!B:AZ,8,FALSE),"[hh]:mm")," Uhr ", IF(VLOOKUP(B299,Jun!B:AZ,12,FALSE)&gt;0, CONCATENATE("und ",TEXT(VLOOKUP(B299,Jun!B:AZ,12,FALSE),"hh:mm"), "-", TEXT(VLOOKUP(B299,Jun!B:AZ,13,FALSE),"[hh]:mm")," Uhr "),"")), IF(VLOOKUP(B299,Jun!B:AZ,6,FALSE)="","",VLOOKUP(VLOOKUP(B299,Jun!B:AZ,6,FALSE),Legende_Code,2,FALSE)))</f>
        <v/>
      </c>
      <c r="E299" s="16" t="str">
        <f>IF(AND(VLOOKUP(B299,Jun!B:AZ,6,FALSE)="", WEEKDAY(B299,2)=6,VLOOKUP(B299,Jun!B:AZ,48,FALSE)&gt;0),VLOOKUP(B299,Jun!B:AZ,48,FALSE)*24,"")</f>
        <v/>
      </c>
      <c r="F299" s="16" t="str">
        <f>IF(AND(VLOOKUP(B299,Jun!B:AZ,6,FALSE)="", WEEKDAY(B299,2)=7,VLOOKUP(B299,Jun!B:AZ,49,FALSE)&gt;0),VLOOKUP(B299,Jun!B:AZ,49,FALSE)*24,"")</f>
        <v/>
      </c>
      <c r="G299" s="16" t="str">
        <f>IF(AND(VLOOKUP(B299,Jun!B:AZ,6,FALSE)="",VLOOKUP(B299,Jun!B:AZ,46,FALSE)&gt;0),VLOOKUP(B299,Jun!B:AZ,46,FALSE)*24,"")</f>
        <v/>
      </c>
      <c r="H299" s="36" t="str">
        <f>IF(AND(VLOOKUP(B299,Jun!B:AZ,6,FALSE)="",VLOOKUP(B299,Jun!B:AZ,50,FALSE)&gt;0),VLOOKUP(B299,Jun!B:AZ,50,FALSE)*24,"")</f>
        <v/>
      </c>
      <c r="I299" s="30" t="str">
        <f>IF(AND(NETWORKDAYS(B299,B299,Feiertage)=1,VLOOKUP(B299,Jun!B:AZ,6,FALSE)="U"),"Urlaub","")</f>
        <v/>
      </c>
      <c r="J299" s="34" t="str">
        <f ca="1">IF(AND(VLOOKUP(B299,Jun!B:AZ,6,FALSE)="",VLOOKUP(B299,Jun!B:AZ,22,FALSE)&lt;0),"Absetzen von","")</f>
        <v/>
      </c>
      <c r="K299" s="263"/>
      <c r="M299" s="316" t="str">
        <f ca="1">IF(VLOOKUP(B299,Jun!B:AZ,22,FALSE)&lt;&gt;0,VLOOKUP(B299,Jun!B:AZ,22,FALSE),"")</f>
        <v/>
      </c>
      <c r="N299" s="327"/>
    </row>
    <row r="300" spans="2:14" x14ac:dyDescent="0.25">
      <c r="B300" s="245">
        <f>Jun!F34</f>
        <v>42181</v>
      </c>
      <c r="C300" s="35">
        <f t="shared" si="3"/>
        <v>42181</v>
      </c>
      <c r="D300" s="17" t="str">
        <f>IF(AND(VLOOKUP(B300,Jun!B:AZ,8,FALSE)&gt;0,VLOOKUP(B300,Jun!B:AZ,6,FALSE)=""), CONCATENATE(TEXT(VLOOKUP(B300,Jun!B:AZ,7,FALSE),"hh:mm"), "-", TEXT(VLOOKUP(B300,Jun!B:AZ,8,FALSE),"[hh]:mm")," Uhr ", IF(VLOOKUP(B300,Jun!B:AZ,12,FALSE)&gt;0, CONCATENATE("und ",TEXT(VLOOKUP(B300,Jun!B:AZ,12,FALSE),"hh:mm"), "-", TEXT(VLOOKUP(B300,Jun!B:AZ,13,FALSE),"[hh]:mm")," Uhr "),"")), IF(VLOOKUP(B300,Jun!B:AZ,6,FALSE)="","",VLOOKUP(VLOOKUP(B300,Jun!B:AZ,6,FALSE),Legende_Code,2,FALSE)))</f>
        <v/>
      </c>
      <c r="E300" s="16" t="str">
        <f>IF(AND(VLOOKUP(B300,Jun!B:AZ,6,FALSE)="", WEEKDAY(B300,2)=6,VLOOKUP(B300,Jun!B:AZ,48,FALSE)&gt;0),VLOOKUP(B300,Jun!B:AZ,48,FALSE)*24,"")</f>
        <v/>
      </c>
      <c r="F300" s="16" t="str">
        <f>IF(AND(VLOOKUP(B300,Jun!B:AZ,6,FALSE)="", WEEKDAY(B300,2)=7,VLOOKUP(B300,Jun!B:AZ,49,FALSE)&gt;0),VLOOKUP(B300,Jun!B:AZ,49,FALSE)*24,"")</f>
        <v/>
      </c>
      <c r="G300" s="16" t="str">
        <f>IF(AND(VLOOKUP(B300,Jun!B:AZ,6,FALSE)="",VLOOKUP(B300,Jun!B:AZ,46,FALSE)&gt;0),VLOOKUP(B300,Jun!B:AZ,46,FALSE)*24,"")</f>
        <v/>
      </c>
      <c r="H300" s="36" t="str">
        <f>IF(AND(VLOOKUP(B300,Jun!B:AZ,6,FALSE)="",VLOOKUP(B300,Jun!B:AZ,50,FALSE)&gt;0),VLOOKUP(B300,Jun!B:AZ,50,FALSE)*24,"")</f>
        <v/>
      </c>
      <c r="I300" s="30" t="str">
        <f>IF(AND(NETWORKDAYS(B300,B300,Feiertage)=1,VLOOKUP(B300,Jun!B:AZ,6,FALSE)="U"),"Urlaub","")</f>
        <v/>
      </c>
      <c r="J300" s="34" t="str">
        <f ca="1">IF(AND(VLOOKUP(B300,Jun!B:AZ,6,FALSE)="",VLOOKUP(B300,Jun!B:AZ,22,FALSE)&lt;0),"Absetzen von","")</f>
        <v/>
      </c>
      <c r="K300" s="263"/>
      <c r="M300" s="316" t="str">
        <f ca="1">IF(VLOOKUP(B300,Jun!B:AZ,22,FALSE)&lt;&gt;0,VLOOKUP(B300,Jun!B:AZ,22,FALSE),"")</f>
        <v/>
      </c>
      <c r="N300" s="327"/>
    </row>
    <row r="301" spans="2:14" x14ac:dyDescent="0.25">
      <c r="B301" s="245">
        <f>Jun!F35</f>
        <v>42182</v>
      </c>
      <c r="C301" s="35">
        <f t="shared" si="3"/>
        <v>42182</v>
      </c>
      <c r="D301" s="17" t="str">
        <f>IF(AND(VLOOKUP(B301,Jun!B:AZ,8,FALSE)&gt;0,VLOOKUP(B301,Jun!B:AZ,6,FALSE)=""), CONCATENATE(TEXT(VLOOKUP(B301,Jun!B:AZ,7,FALSE),"hh:mm"), "-", TEXT(VLOOKUP(B301,Jun!B:AZ,8,FALSE),"[hh]:mm")," Uhr ", IF(VLOOKUP(B301,Jun!B:AZ,12,FALSE)&gt;0, CONCATENATE("und ",TEXT(VLOOKUP(B301,Jun!B:AZ,12,FALSE),"hh:mm"), "-", TEXT(VLOOKUP(B301,Jun!B:AZ,13,FALSE),"[hh]:mm")," Uhr "),"")), IF(VLOOKUP(B301,Jun!B:AZ,6,FALSE)="","",VLOOKUP(VLOOKUP(B301,Jun!B:AZ,6,FALSE),Legende_Code,2,FALSE)))</f>
        <v/>
      </c>
      <c r="E301" s="16" t="str">
        <f>IF(AND(VLOOKUP(B301,Jun!B:AZ,6,FALSE)="", WEEKDAY(B301,2)=6,VLOOKUP(B301,Jun!B:AZ,48,FALSE)&gt;0),VLOOKUP(B301,Jun!B:AZ,48,FALSE)*24,"")</f>
        <v/>
      </c>
      <c r="F301" s="16" t="str">
        <f>IF(AND(VLOOKUP(B301,Jun!B:AZ,6,FALSE)="", WEEKDAY(B301,2)=7,VLOOKUP(B301,Jun!B:AZ,49,FALSE)&gt;0),VLOOKUP(B301,Jun!B:AZ,49,FALSE)*24,"")</f>
        <v/>
      </c>
      <c r="G301" s="16" t="str">
        <f>IF(AND(VLOOKUP(B301,Jun!B:AZ,6,FALSE)="",VLOOKUP(B301,Jun!B:AZ,46,FALSE)&gt;0),VLOOKUP(B301,Jun!B:AZ,46,FALSE)*24,"")</f>
        <v/>
      </c>
      <c r="H301" s="36" t="str">
        <f>IF(AND(VLOOKUP(B301,Jun!B:AZ,6,FALSE)="",VLOOKUP(B301,Jun!B:AZ,50,FALSE)&gt;0),VLOOKUP(B301,Jun!B:AZ,50,FALSE)*24,"")</f>
        <v/>
      </c>
      <c r="I301" s="30" t="str">
        <f>IF(AND(NETWORKDAYS(B301,B301,Feiertage)=1,VLOOKUP(B301,Jun!B:AZ,6,FALSE)="U"),"Urlaub","")</f>
        <v/>
      </c>
      <c r="J301" s="34" t="str">
        <f ca="1">IF(AND(VLOOKUP(B301,Jun!B:AZ,6,FALSE)="",VLOOKUP(B301,Jun!B:AZ,22,FALSE)&lt;0),"Absetzen von","")</f>
        <v/>
      </c>
      <c r="K301" s="263"/>
      <c r="M301" s="316" t="str">
        <f ca="1">IF(VLOOKUP(B301,Jun!B:AZ,22,FALSE)&lt;&gt;0,VLOOKUP(B301,Jun!B:AZ,22,FALSE),"")</f>
        <v/>
      </c>
      <c r="N301" s="327"/>
    </row>
    <row r="302" spans="2:14" x14ac:dyDescent="0.25">
      <c r="B302" s="245">
        <f>Jun!F36</f>
        <v>42183</v>
      </c>
      <c r="C302" s="35">
        <f t="shared" si="3"/>
        <v>42183</v>
      </c>
      <c r="D302" s="17" t="str">
        <f>IF(AND(VLOOKUP(B302,Jun!B:AZ,8,FALSE)&gt;0,VLOOKUP(B302,Jun!B:AZ,6,FALSE)=""), CONCATENATE(TEXT(VLOOKUP(B302,Jun!B:AZ,7,FALSE),"hh:mm"), "-", TEXT(VLOOKUP(B302,Jun!B:AZ,8,FALSE),"[hh]:mm")," Uhr ", IF(VLOOKUP(B302,Jun!B:AZ,12,FALSE)&gt;0, CONCATENATE("und ",TEXT(VLOOKUP(B302,Jun!B:AZ,12,FALSE),"hh:mm"), "-", TEXT(VLOOKUP(B302,Jun!B:AZ,13,FALSE),"[hh]:mm")," Uhr "),"")), IF(VLOOKUP(B302,Jun!B:AZ,6,FALSE)="","",VLOOKUP(VLOOKUP(B302,Jun!B:AZ,6,FALSE),Legende_Code,2,FALSE)))</f>
        <v/>
      </c>
      <c r="E302" s="16" t="str">
        <f>IF(AND(VLOOKUP(B302,Jun!B:AZ,6,FALSE)="", WEEKDAY(B302,2)=6,VLOOKUP(B302,Jun!B:AZ,48,FALSE)&gt;0),VLOOKUP(B302,Jun!B:AZ,48,FALSE)*24,"")</f>
        <v/>
      </c>
      <c r="F302" s="16" t="str">
        <f>IF(AND(VLOOKUP(B302,Jun!B:AZ,6,FALSE)="", WEEKDAY(B302,2)=7,VLOOKUP(B302,Jun!B:AZ,49,FALSE)&gt;0),VLOOKUP(B302,Jun!B:AZ,49,FALSE)*24,"")</f>
        <v/>
      </c>
      <c r="G302" s="16" t="str">
        <f>IF(AND(VLOOKUP(B302,Jun!B:AZ,6,FALSE)="",VLOOKUP(B302,Jun!B:AZ,46,FALSE)&gt;0),VLOOKUP(B302,Jun!B:AZ,46,FALSE)*24,"")</f>
        <v/>
      </c>
      <c r="H302" s="36" t="str">
        <f>IF(AND(VLOOKUP(B302,Jun!B:AZ,6,FALSE)="",VLOOKUP(B302,Jun!B:AZ,50,FALSE)&gt;0),VLOOKUP(B302,Jun!B:AZ,50,FALSE)*24,"")</f>
        <v/>
      </c>
      <c r="I302" s="30" t="str">
        <f>IF(AND(NETWORKDAYS(B302,B302,Feiertage)=1,VLOOKUP(B302,Jun!B:AZ,6,FALSE)="U"),"Urlaub","")</f>
        <v/>
      </c>
      <c r="J302" s="34" t="str">
        <f ca="1">IF(AND(VLOOKUP(B302,Jun!B:AZ,6,FALSE)="",VLOOKUP(B302,Jun!B:AZ,22,FALSE)&lt;0),"Absetzen von","")</f>
        <v/>
      </c>
      <c r="K302" s="263"/>
      <c r="M302" s="316" t="str">
        <f ca="1">IF(VLOOKUP(B302,Jun!B:AZ,22,FALSE)&lt;&gt;0,VLOOKUP(B302,Jun!B:AZ,22,FALSE),"")</f>
        <v/>
      </c>
      <c r="N302" s="327"/>
    </row>
    <row r="303" spans="2:14" x14ac:dyDescent="0.25">
      <c r="B303" s="245">
        <f>Jun!F37</f>
        <v>42184</v>
      </c>
      <c r="C303" s="35">
        <f t="shared" si="3"/>
        <v>42184</v>
      </c>
      <c r="D303" s="17" t="str">
        <f>IF(AND(VLOOKUP(B303,Jun!B:AZ,8,FALSE)&gt;0,VLOOKUP(B303,Jun!B:AZ,6,FALSE)=""), CONCATENATE(TEXT(VLOOKUP(B303,Jun!B:AZ,7,FALSE),"hh:mm"), "-", TEXT(VLOOKUP(B303,Jun!B:AZ,8,FALSE),"[hh]:mm")," Uhr ", IF(VLOOKUP(B303,Jun!B:AZ,12,FALSE)&gt;0, CONCATENATE("und ",TEXT(VLOOKUP(B303,Jun!B:AZ,12,FALSE),"hh:mm"), "-", TEXT(VLOOKUP(B303,Jun!B:AZ,13,FALSE),"[hh]:mm")," Uhr "),"")), IF(VLOOKUP(B303,Jun!B:AZ,6,FALSE)="","",VLOOKUP(VLOOKUP(B303,Jun!B:AZ,6,FALSE),Legende_Code,2,FALSE)))</f>
        <v/>
      </c>
      <c r="E303" s="16" t="str">
        <f>IF(AND(VLOOKUP(B303,Jun!B:AZ,6,FALSE)="", WEEKDAY(B303,2)=6,VLOOKUP(B303,Jun!B:AZ,48,FALSE)&gt;0),VLOOKUP(B303,Jun!B:AZ,48,FALSE)*24,"")</f>
        <v/>
      </c>
      <c r="F303" s="16" t="str">
        <f>IF(AND(VLOOKUP(B303,Jun!B:AZ,6,FALSE)="", WEEKDAY(B303,2)=7,VLOOKUP(B303,Jun!B:AZ,49,FALSE)&gt;0),VLOOKUP(B303,Jun!B:AZ,49,FALSE)*24,"")</f>
        <v/>
      </c>
      <c r="G303" s="16" t="str">
        <f>IF(AND(VLOOKUP(B303,Jun!B:AZ,6,FALSE)="",VLOOKUP(B303,Jun!B:AZ,46,FALSE)&gt;0),VLOOKUP(B303,Jun!B:AZ,46,FALSE)*24,"")</f>
        <v/>
      </c>
      <c r="H303" s="36" t="str">
        <f>IF(AND(VLOOKUP(B303,Jun!B:AZ,6,FALSE)="",VLOOKUP(B303,Jun!B:AZ,50,FALSE)&gt;0),VLOOKUP(B303,Jun!B:AZ,50,FALSE)*24,"")</f>
        <v/>
      </c>
      <c r="I303" s="30" t="str">
        <f>IF(AND(NETWORKDAYS(B303,B303,Feiertage)=1,VLOOKUP(B303,Jun!B:AZ,6,FALSE)="U"),"Urlaub","")</f>
        <v/>
      </c>
      <c r="J303" s="34" t="str">
        <f ca="1">IF(AND(VLOOKUP(B303,Jun!B:AZ,6,FALSE)="",VLOOKUP(B303,Jun!B:AZ,22,FALSE)&lt;0),"Absetzen von","")</f>
        <v/>
      </c>
      <c r="K303" s="263"/>
      <c r="M303" s="316" t="str">
        <f ca="1">IF(VLOOKUP(B303,Jun!B:AZ,22,FALSE)&lt;&gt;0,VLOOKUP(B303,Jun!B:AZ,22,FALSE),"")</f>
        <v/>
      </c>
      <c r="N303" s="327"/>
    </row>
    <row r="304" spans="2:14" ht="15.75" thickBot="1" x14ac:dyDescent="0.3">
      <c r="B304" s="245"/>
      <c r="C304" s="35"/>
      <c r="D304" s="17"/>
      <c r="E304" s="16"/>
      <c r="F304" s="16"/>
      <c r="G304" s="16"/>
      <c r="H304" s="36"/>
      <c r="I304" s="30"/>
      <c r="J304" s="34"/>
      <c r="K304" s="263"/>
      <c r="N304" s="327"/>
    </row>
    <row r="305" spans="1:14" ht="15.75" thickBot="1" x14ac:dyDescent="0.3">
      <c r="B305" s="186"/>
      <c r="C305" s="37"/>
      <c r="D305" s="38" t="s">
        <v>198</v>
      </c>
      <c r="E305" s="39" t="str">
        <f>IF(SUM(E274:E304)=0," ",SUM(E274:E304))</f>
        <v xml:space="preserve"> </v>
      </c>
      <c r="F305" s="39" t="str">
        <f>IF(SUM(F274:F304)=0," ",SUM(F274:F304))</f>
        <v xml:space="preserve"> </v>
      </c>
      <c r="G305" s="39" t="str">
        <f>IF(SUM(G274:G304)=0," ",SUM(G274:G304))</f>
        <v xml:space="preserve"> </v>
      </c>
      <c r="H305" s="40" t="str">
        <f>IF(SUM(H274:H304)=0," ",SUM(H274:H304))</f>
        <v xml:space="preserve"> </v>
      </c>
      <c r="I305" s="30"/>
      <c r="J305" s="185"/>
      <c r="K305" s="266"/>
      <c r="N305" s="327"/>
    </row>
    <row r="306" spans="1:14" x14ac:dyDescent="0.25">
      <c r="B306" s="44" t="s">
        <v>199</v>
      </c>
      <c r="C306" s="20"/>
      <c r="D306" s="41"/>
      <c r="E306" s="20"/>
      <c r="F306" s="20"/>
      <c r="G306" s="20" t="s">
        <v>200</v>
      </c>
      <c r="H306" s="20"/>
      <c r="I306" s="20"/>
      <c r="J306" s="20"/>
      <c r="K306" s="267"/>
      <c r="N306" s="327"/>
    </row>
    <row r="307" spans="1:14" x14ac:dyDescent="0.25">
      <c r="B307" s="44"/>
      <c r="C307" s="20"/>
      <c r="D307" s="41"/>
      <c r="E307" s="20"/>
      <c r="F307" s="20"/>
      <c r="G307" s="20"/>
      <c r="H307" s="20"/>
      <c r="I307" s="20"/>
      <c r="J307" s="20"/>
      <c r="K307" s="267"/>
      <c r="N307" s="327"/>
    </row>
    <row r="308" spans="1:14" x14ac:dyDescent="0.25">
      <c r="B308" s="44"/>
      <c r="C308" s="20"/>
      <c r="D308" s="41"/>
      <c r="E308" s="20"/>
      <c r="F308" s="20"/>
      <c r="G308" s="20"/>
      <c r="H308" s="20"/>
      <c r="I308" s="20"/>
      <c r="J308" s="20"/>
      <c r="K308" s="267"/>
      <c r="N308" s="327"/>
    </row>
    <row r="309" spans="1:14" x14ac:dyDescent="0.25">
      <c r="B309" s="44" t="s">
        <v>201</v>
      </c>
      <c r="C309" s="20"/>
      <c r="D309" s="41"/>
      <c r="E309" s="20"/>
      <c r="F309" s="20"/>
      <c r="G309" s="20" t="s">
        <v>202</v>
      </c>
      <c r="H309" s="20"/>
      <c r="I309" s="20"/>
      <c r="J309" s="20"/>
      <c r="K309" s="267"/>
      <c r="N309" s="327"/>
    </row>
    <row r="310" spans="1:14" x14ac:dyDescent="0.25">
      <c r="B310" s="253"/>
      <c r="C310" s="42"/>
      <c r="D310" s="18"/>
      <c r="E310" s="19"/>
      <c r="F310" s="19"/>
      <c r="G310" s="19"/>
      <c r="H310" s="43"/>
      <c r="I310" s="20"/>
      <c r="J310" s="44"/>
      <c r="K310" s="268"/>
      <c r="N310" s="327"/>
    </row>
    <row r="311" spans="1:14" x14ac:dyDescent="0.25">
      <c r="B311" s="253"/>
      <c r="C311" s="42"/>
      <c r="D311" s="18"/>
      <c r="E311" s="19"/>
      <c r="F311" s="19"/>
      <c r="G311" s="19"/>
      <c r="H311" s="43"/>
      <c r="I311" s="20"/>
      <c r="J311" s="44"/>
      <c r="K311" s="268"/>
      <c r="N311" s="327"/>
    </row>
    <row r="312" spans="1:14" x14ac:dyDescent="0.25">
      <c r="B312" s="253"/>
      <c r="C312" s="42"/>
      <c r="D312" s="18"/>
      <c r="E312" s="19"/>
      <c r="F312" s="19"/>
      <c r="G312" s="19"/>
      <c r="H312" s="43"/>
      <c r="I312" s="20"/>
      <c r="J312" s="44"/>
      <c r="K312" s="268"/>
      <c r="N312" s="327"/>
    </row>
    <row r="313" spans="1:14" x14ac:dyDescent="0.25">
      <c r="B313" s="253"/>
      <c r="C313" s="42"/>
      <c r="D313" s="18"/>
      <c r="E313" s="19"/>
      <c r="F313" s="19"/>
      <c r="G313" s="19"/>
      <c r="H313" s="43"/>
      <c r="I313" s="20"/>
      <c r="J313" s="44"/>
      <c r="K313" s="268"/>
      <c r="N313" s="327"/>
    </row>
    <row r="314" spans="1:14" s="45" customFormat="1" ht="18" x14ac:dyDescent="0.25">
      <c r="B314" s="252"/>
      <c r="C314" s="539" t="s">
        <v>186</v>
      </c>
      <c r="D314" s="539"/>
      <c r="E314" s="539"/>
      <c r="F314" s="539"/>
      <c r="G314" s="21"/>
      <c r="H314" s="21"/>
      <c r="I314" s="21"/>
      <c r="J314" s="21"/>
      <c r="K314" s="259"/>
      <c r="M314" s="317"/>
      <c r="N314" s="328"/>
    </row>
    <row r="315" spans="1:14" s="45" customFormat="1" ht="16.5" x14ac:dyDescent="0.25">
      <c r="B315" s="252" t="s">
        <v>82</v>
      </c>
      <c r="C315" s="21"/>
      <c r="D315" s="22"/>
      <c r="E315" s="21"/>
      <c r="F315" s="21"/>
      <c r="G315" s="21"/>
      <c r="H315" s="21"/>
      <c r="I315" s="23" t="str">
        <f>Struktureinheit</f>
        <v>Struktureinheit</v>
      </c>
      <c r="J315" s="24"/>
      <c r="K315" s="260"/>
      <c r="M315" s="317" t="s">
        <v>187</v>
      </c>
      <c r="N315" s="256"/>
    </row>
    <row r="316" spans="1:14" ht="16.5" x14ac:dyDescent="0.25">
      <c r="A316" s="29"/>
      <c r="B316" s="545" t="s">
        <v>1</v>
      </c>
      <c r="C316" s="545"/>
      <c r="D316" s="20" t="str">
        <f>Name</f>
        <v>Max Mustermann</v>
      </c>
      <c r="E316" s="25"/>
      <c r="F316" s="25"/>
      <c r="G316" s="25"/>
      <c r="H316" s="26"/>
      <c r="I316" s="27"/>
      <c r="J316" s="27"/>
      <c r="K316" s="260"/>
      <c r="M316" s="317" t="s">
        <v>188</v>
      </c>
      <c r="N316" s="257"/>
    </row>
    <row r="317" spans="1:14" ht="9.75" customHeight="1" x14ac:dyDescent="0.25">
      <c r="A317" s="29"/>
      <c r="C317" s="26"/>
      <c r="D317" s="28"/>
      <c r="E317" s="26"/>
      <c r="F317" s="26"/>
      <c r="G317" s="26"/>
      <c r="H317" s="26"/>
      <c r="I317" s="26"/>
      <c r="J317" s="26"/>
      <c r="K317" s="259"/>
      <c r="N317" s="327"/>
    </row>
    <row r="318" spans="1:14" x14ac:dyDescent="0.25">
      <c r="A318" s="29"/>
      <c r="B318" s="545" t="s">
        <v>189</v>
      </c>
      <c r="C318" s="545"/>
      <c r="D318" s="26">
        <f>Personalnummer</f>
        <v>123456789</v>
      </c>
      <c r="G318" s="26"/>
      <c r="H318" s="184" t="s">
        <v>190</v>
      </c>
      <c r="I318" s="540">
        <f>Geburtstag</f>
        <v>16833</v>
      </c>
      <c r="J318" s="540"/>
      <c r="K318" s="261"/>
      <c r="N318" s="327"/>
    </row>
    <row r="319" spans="1:14" x14ac:dyDescent="0.25">
      <c r="A319" s="29"/>
      <c r="C319" s="26"/>
      <c r="D319" s="28"/>
      <c r="E319" s="26"/>
      <c r="F319" s="26"/>
      <c r="G319" s="26"/>
      <c r="H319" s="26"/>
      <c r="I319" s="26"/>
      <c r="J319" s="26"/>
      <c r="K319" s="259"/>
      <c r="N319" s="327"/>
    </row>
    <row r="320" spans="1:14" x14ac:dyDescent="0.25">
      <c r="A320" s="29"/>
      <c r="B320" s="541" t="s">
        <v>191</v>
      </c>
      <c r="C320" s="541"/>
      <c r="D320" s="542">
        <f>B326</f>
        <v>42185</v>
      </c>
      <c r="E320" s="542"/>
      <c r="F320" s="542"/>
      <c r="G320" s="542"/>
      <c r="H320" s="542"/>
      <c r="I320" s="186"/>
      <c r="J320" s="543"/>
      <c r="K320" s="544"/>
      <c r="N320" s="327"/>
    </row>
    <row r="321" spans="2:14" ht="15" customHeight="1" x14ac:dyDescent="0.25">
      <c r="B321" s="557"/>
      <c r="C321" s="557"/>
      <c r="D321" s="558" t="s">
        <v>192</v>
      </c>
      <c r="E321" s="546" t="s">
        <v>38</v>
      </c>
      <c r="F321" s="546" t="s">
        <v>39</v>
      </c>
      <c r="G321" s="546" t="s">
        <v>105</v>
      </c>
      <c r="H321" s="548" t="s">
        <v>81</v>
      </c>
      <c r="I321" s="30" t="s">
        <v>193</v>
      </c>
      <c r="J321" s="550" t="s">
        <v>63</v>
      </c>
      <c r="K321" s="551"/>
      <c r="N321" s="327"/>
    </row>
    <row r="322" spans="2:14" x14ac:dyDescent="0.25">
      <c r="B322" s="557"/>
      <c r="C322" s="557"/>
      <c r="D322" s="558"/>
      <c r="E322" s="547"/>
      <c r="F322" s="547"/>
      <c r="G322" s="547"/>
      <c r="H322" s="549"/>
      <c r="I322" s="552"/>
      <c r="J322" s="550"/>
      <c r="K322" s="551"/>
      <c r="N322" s="327"/>
    </row>
    <row r="323" spans="2:14" x14ac:dyDescent="0.25">
      <c r="B323" s="557"/>
      <c r="C323" s="186"/>
      <c r="D323" s="31" t="s">
        <v>194</v>
      </c>
      <c r="E323" s="186" t="s">
        <v>195</v>
      </c>
      <c r="F323" s="186"/>
      <c r="G323" s="186" t="s">
        <v>196</v>
      </c>
      <c r="H323" s="32"/>
      <c r="I323" s="544"/>
      <c r="J323" s="543"/>
      <c r="K323" s="554"/>
      <c r="N323" s="327"/>
    </row>
    <row r="324" spans="2:14" x14ac:dyDescent="0.25">
      <c r="B324" s="186" t="s">
        <v>80</v>
      </c>
      <c r="C324" s="186" t="s">
        <v>128</v>
      </c>
      <c r="D324" s="31"/>
      <c r="E324" s="186" t="s">
        <v>197</v>
      </c>
      <c r="F324" s="186" t="s">
        <v>197</v>
      </c>
      <c r="G324" s="186" t="s">
        <v>197</v>
      </c>
      <c r="H324" s="32" t="s">
        <v>197</v>
      </c>
      <c r="I324" s="553"/>
      <c r="J324" s="555"/>
      <c r="K324" s="556"/>
      <c r="N324" s="327"/>
    </row>
    <row r="325" spans="2:14" x14ac:dyDescent="0.25">
      <c r="B325" s="186"/>
      <c r="C325" s="186"/>
      <c r="D325" s="33"/>
      <c r="E325" s="16"/>
      <c r="F325" s="186"/>
      <c r="G325" s="186"/>
      <c r="H325" s="32"/>
      <c r="I325" s="30"/>
      <c r="J325" s="34"/>
      <c r="K325" s="269"/>
      <c r="N325" s="327"/>
    </row>
    <row r="326" spans="2:14" x14ac:dyDescent="0.25">
      <c r="B326" s="245">
        <f>Jul!F8</f>
        <v>42185</v>
      </c>
      <c r="C326" s="35">
        <f t="shared" ref="C326:C396" si="4">B326</f>
        <v>42185</v>
      </c>
      <c r="D326" s="17" t="str">
        <f>IF(AND(VLOOKUP(B326,Jul!B:AZ,8,FALSE)&gt;0,VLOOKUP(B326,Jul!B:AZ,6,FALSE)=""), CONCATENATE(TEXT(VLOOKUP(B326,Jul!B:AZ,7,FALSE),"hh:mm"), "-", TEXT(VLOOKUP(B326,Jul!B:AZ,8,FALSE),"[hh]:mm")," Uhr ", IF(VLOOKUP(B326,Jul!B:AZ,12,FALSE)&gt;0, CONCATENATE("und ",TEXT(VLOOKUP(B326,Jul!B:AZ,12,FALSE),"hh:mm"), "-", TEXT(VLOOKUP(B326,Jul!B:AZ,13,FALSE),"[hh]:mm")," Uhr "),"")), IF(VLOOKUP(B326,Jul!B:AZ,6,FALSE)="","",VLOOKUP(VLOOKUP(B326,Jul!B:AZ,6,FALSE),Legende_Code,2,FALSE)))</f>
        <v/>
      </c>
      <c r="E326" s="16" t="str">
        <f>IF(AND(VLOOKUP(B326,Jul!B:AZ,6,FALSE)="", WEEKDAY(B326,2)=6,VLOOKUP(B326,Jul!B:AZ,48,FALSE)&gt;0),VLOOKUP(B326,Jul!B:AZ,48,FALSE)*24,"")</f>
        <v/>
      </c>
      <c r="F326" s="16" t="str">
        <f>IF(AND(VLOOKUP(B326,Jul!B:AZ,6,FALSE)="", WEEKDAY(B326,2)=7,VLOOKUP(B326,Jul!B:AZ,49,FALSE)&gt;0),VLOOKUP(B326,Jul!B:AZ,49,FALSE)*24,"")</f>
        <v/>
      </c>
      <c r="G326" s="16" t="str">
        <f>IF(AND(VLOOKUP(B326,Jul!B:AZ,6,FALSE)="",VLOOKUP(B326,Jul!B:AZ,46,FALSE)&gt;0),VLOOKUP(B326,Jul!B:AZ,46,FALSE)*24,"")</f>
        <v/>
      </c>
      <c r="H326" s="36" t="str">
        <f>IF(AND(VLOOKUP(B326,Jul!B:AZ,6,FALSE)="",VLOOKUP(B326,Jul!B:AZ,50,FALSE)&gt;0),VLOOKUP(B326,Jul!B:AZ,50,FALSE)*24,"")</f>
        <v/>
      </c>
      <c r="I326" s="30" t="str">
        <f>IF(AND(NETWORKDAYS(B326,B326,Feiertage)=1,VLOOKUP(B326,Jul!B:AZ,6,FALSE)="U"),"Urlaub","")</f>
        <v/>
      </c>
      <c r="J326" s="34" t="str">
        <f ca="1">IF(AND(VLOOKUP(B326,Jul!B:AZ,6,FALSE)="",VLOOKUP(B326,Jul!B:AZ,22,FALSE)&lt;0),"Absetzen von","")</f>
        <v/>
      </c>
      <c r="K326" s="263"/>
      <c r="M326" s="316" t="str">
        <f ca="1">IF(VLOOKUP(B326,Jul!B:AZ,22,FALSE)&lt;&gt;0,VLOOKUP(B326,Jul!B:AZ,22,FALSE),"")</f>
        <v/>
      </c>
      <c r="N326" s="327"/>
    </row>
    <row r="327" spans="2:14" x14ac:dyDescent="0.25">
      <c r="B327" s="245">
        <f>Jul!F9</f>
        <v>42186</v>
      </c>
      <c r="C327" s="35">
        <f t="shared" si="4"/>
        <v>42186</v>
      </c>
      <c r="D327" s="17" t="str">
        <f>IF(AND(VLOOKUP(B327,Jul!B:AZ,8,FALSE)&gt;0,VLOOKUP(B327,Jul!B:AZ,6,FALSE)=""), CONCATENATE(TEXT(VLOOKUP(B327,Jul!B:AZ,7,FALSE),"hh:mm"), "-", TEXT(VLOOKUP(B327,Jul!B:AZ,8,FALSE),"[hh]:mm")," Uhr ", IF(VLOOKUP(B327,Jul!B:AZ,12,FALSE)&gt;0, CONCATENATE("und ",TEXT(VLOOKUP(B327,Jul!B:AZ,12,FALSE),"hh:mm"), "-", TEXT(VLOOKUP(B327,Jul!B:AZ,13,FALSE),"[hh]:mm")," Uhr "),"")), IF(VLOOKUP(B327,Jul!B:AZ,6,FALSE)="","",VLOOKUP(VLOOKUP(B327,Jul!B:AZ,6,FALSE),Legende_Code,2,FALSE)))</f>
        <v/>
      </c>
      <c r="E327" s="16" t="str">
        <f>IF(AND(VLOOKUP(B327,Jul!B:AZ,6,FALSE)="", WEEKDAY(B327,2)=6,VLOOKUP(B327,Jul!B:AZ,48,FALSE)&gt;0),VLOOKUP(B327,Jul!B:AZ,48,FALSE)*24,"")</f>
        <v/>
      </c>
      <c r="F327" s="16" t="str">
        <f>IF(AND(VLOOKUP(B327,Jul!B:AZ,6,FALSE)="", WEEKDAY(B327,2)=7,VLOOKUP(B327,Jul!B:AZ,49,FALSE)&gt;0),VLOOKUP(B327,Jul!B:AZ,49,FALSE)*24,"")</f>
        <v/>
      </c>
      <c r="G327" s="16" t="str">
        <f>IF(AND(VLOOKUP(B327,Jul!B:AZ,6,FALSE)="",VLOOKUP(B327,Jul!B:AZ,46,FALSE)&gt;0),VLOOKUP(B327,Jul!B:AZ,46,FALSE)*24,"")</f>
        <v/>
      </c>
      <c r="H327" s="36" t="str">
        <f>IF(AND(VLOOKUP(B327,Jul!B:AZ,6,FALSE)="",VLOOKUP(B327,Jul!B:AZ,50,FALSE)&gt;0),VLOOKUP(B327,Jul!B:AZ,50,FALSE)*24,"")</f>
        <v/>
      </c>
      <c r="I327" s="30" t="str">
        <f>IF(AND(NETWORKDAYS(B327,B327,Feiertage)=1,VLOOKUP(B327,Jul!B:AZ,6,FALSE)="U"),"Urlaub","")</f>
        <v/>
      </c>
      <c r="J327" s="34" t="str">
        <f ca="1">IF(AND(VLOOKUP(B327,Jul!B:AZ,6,FALSE)="",VLOOKUP(B327,Jul!B:AZ,22,FALSE)&lt;0),"Absetzen von","")</f>
        <v/>
      </c>
      <c r="K327" s="263"/>
      <c r="M327" s="316" t="str">
        <f ca="1">IF(VLOOKUP(B327,Jul!B:AZ,22,FALSE)&lt;&gt;0,VLOOKUP(B327,Jul!B:AZ,22,FALSE),"")</f>
        <v/>
      </c>
      <c r="N327" s="327"/>
    </row>
    <row r="328" spans="2:14" x14ac:dyDescent="0.25">
      <c r="B328" s="245">
        <f>Jul!F10</f>
        <v>42187</v>
      </c>
      <c r="C328" s="35">
        <f t="shared" si="4"/>
        <v>42187</v>
      </c>
      <c r="D328" s="17" t="str">
        <f>IF(AND(VLOOKUP(B328,Jul!B:AZ,8,FALSE)&gt;0,VLOOKUP(B328,Jul!B:AZ,6,FALSE)=""), CONCATENATE(TEXT(VLOOKUP(B328,Jul!B:AZ,7,FALSE),"hh:mm"), "-", TEXT(VLOOKUP(B328,Jul!B:AZ,8,FALSE),"[hh]:mm")," Uhr ", IF(VLOOKUP(B328,Jul!B:AZ,12,FALSE)&gt;0, CONCATENATE("und ",TEXT(VLOOKUP(B328,Jul!B:AZ,12,FALSE),"hh:mm"), "-", TEXT(VLOOKUP(B328,Jul!B:AZ,13,FALSE),"[hh]:mm")," Uhr "),"")), IF(VLOOKUP(B328,Jul!B:AZ,6,FALSE)="","",VLOOKUP(VLOOKUP(B328,Jul!B:AZ,6,FALSE),Legende_Code,2,FALSE)))</f>
        <v/>
      </c>
      <c r="E328" s="16" t="str">
        <f>IF(AND(VLOOKUP(B328,Jul!B:AZ,6,FALSE)="", WEEKDAY(B328,2)=6,VLOOKUP(B328,Jul!B:AZ,48,FALSE)&gt;0),VLOOKUP(B328,Jul!B:AZ,48,FALSE)*24,"")</f>
        <v/>
      </c>
      <c r="F328" s="16" t="str">
        <f>IF(AND(VLOOKUP(B328,Jul!B:AZ,6,FALSE)="", WEEKDAY(B328,2)=7,VLOOKUP(B328,Jul!B:AZ,49,FALSE)&gt;0),VLOOKUP(B328,Jul!B:AZ,49,FALSE)*24,"")</f>
        <v/>
      </c>
      <c r="G328" s="16" t="str">
        <f>IF(AND(VLOOKUP(B328,Jul!B:AZ,6,FALSE)="",VLOOKUP(B328,Jul!B:AZ,46,FALSE)&gt;0),VLOOKUP(B328,Jul!B:AZ,46,FALSE)*24,"")</f>
        <v/>
      </c>
      <c r="H328" s="36" t="str">
        <f>IF(AND(VLOOKUP(B328,Jul!B:AZ,6,FALSE)="",VLOOKUP(B328,Jul!B:AZ,50,FALSE)&gt;0),VLOOKUP(B328,Jul!B:AZ,50,FALSE)*24,"")</f>
        <v/>
      </c>
      <c r="I328" s="30" t="str">
        <f>IF(AND(NETWORKDAYS(B328,B328,Feiertage)=1,VLOOKUP(B328,Jul!B:AZ,6,FALSE)="U"),"Urlaub","")</f>
        <v/>
      </c>
      <c r="J328" s="34" t="str">
        <f ca="1">IF(AND(VLOOKUP(B328,Jul!B:AZ,6,FALSE)="",VLOOKUP(B328,Jul!B:AZ,22,FALSE)&lt;0),"Absetzen von","")</f>
        <v/>
      </c>
      <c r="K328" s="263"/>
      <c r="M328" s="316" t="str">
        <f ca="1">IF(VLOOKUP(B328,Jul!B:AZ,22,FALSE)&lt;&gt;0,VLOOKUP(B328,Jul!B:AZ,22,FALSE),"")</f>
        <v/>
      </c>
      <c r="N328" s="327"/>
    </row>
    <row r="329" spans="2:14" x14ac:dyDescent="0.25">
      <c r="B329" s="245">
        <f>Jul!F11</f>
        <v>42188</v>
      </c>
      <c r="C329" s="35">
        <f t="shared" si="4"/>
        <v>42188</v>
      </c>
      <c r="D329" s="17" t="str">
        <f>IF(AND(VLOOKUP(B329,Jul!B:AZ,8,FALSE)&gt;0,VLOOKUP(B329,Jul!B:AZ,6,FALSE)=""), CONCATENATE(TEXT(VLOOKUP(B329,Jul!B:AZ,7,FALSE),"hh:mm"), "-", TEXT(VLOOKUP(B329,Jul!B:AZ,8,FALSE),"[hh]:mm")," Uhr ", IF(VLOOKUP(B329,Jul!B:AZ,12,FALSE)&gt;0, CONCATENATE("und ",TEXT(VLOOKUP(B329,Jul!B:AZ,12,FALSE),"hh:mm"), "-", TEXT(VLOOKUP(B329,Jul!B:AZ,13,FALSE),"[hh]:mm")," Uhr "),"")), IF(VLOOKUP(B329,Jul!B:AZ,6,FALSE)="","",VLOOKUP(VLOOKUP(B329,Jul!B:AZ,6,FALSE),Legende_Code,2,FALSE)))</f>
        <v/>
      </c>
      <c r="E329" s="16" t="str">
        <f>IF(AND(VLOOKUP(B329,Jul!B:AZ,6,FALSE)="", WEEKDAY(B329,2)=6,VLOOKUP(B329,Jul!B:AZ,48,FALSE)&gt;0),VLOOKUP(B329,Jul!B:AZ,48,FALSE)*24,"")</f>
        <v/>
      </c>
      <c r="F329" s="16" t="str">
        <f>IF(AND(VLOOKUP(B329,Jul!B:AZ,6,FALSE)="", WEEKDAY(B329,2)=7,VLOOKUP(B329,Jul!B:AZ,49,FALSE)&gt;0),VLOOKUP(B329,Jul!B:AZ,49,FALSE)*24,"")</f>
        <v/>
      </c>
      <c r="G329" s="16" t="str">
        <f>IF(AND(VLOOKUP(B329,Jul!B:AZ,6,FALSE)="",VLOOKUP(B329,Jul!B:AZ,46,FALSE)&gt;0),VLOOKUP(B329,Jul!B:AZ,46,FALSE)*24,"")</f>
        <v/>
      </c>
      <c r="H329" s="36" t="str">
        <f>IF(AND(VLOOKUP(B329,Jul!B:AZ,6,FALSE)="",VLOOKUP(B329,Jul!B:AZ,50,FALSE)&gt;0),VLOOKUP(B329,Jul!B:AZ,50,FALSE)*24,"")</f>
        <v/>
      </c>
      <c r="I329" s="30" t="str">
        <f>IF(AND(NETWORKDAYS(B329,B329,Feiertage)=1,VLOOKUP(B329,Jul!B:AZ,6,FALSE)="U"),"Urlaub","")</f>
        <v/>
      </c>
      <c r="J329" s="34" t="str">
        <f ca="1">IF(AND(VLOOKUP(B329,Jul!B:AZ,6,FALSE)="",VLOOKUP(B329,Jul!B:AZ,22,FALSE)&lt;0),"Absetzen von","")</f>
        <v/>
      </c>
      <c r="K329" s="263"/>
      <c r="M329" s="316" t="str">
        <f ca="1">IF(VLOOKUP(B329,Jul!B:AZ,22,FALSE)&lt;&gt;0,VLOOKUP(B329,Jul!B:AZ,22,FALSE),"")</f>
        <v/>
      </c>
      <c r="N329" s="327"/>
    </row>
    <row r="330" spans="2:14" x14ac:dyDescent="0.25">
      <c r="B330" s="245">
        <f>Jul!F12</f>
        <v>42189</v>
      </c>
      <c r="C330" s="35">
        <f t="shared" si="4"/>
        <v>42189</v>
      </c>
      <c r="D330" s="17" t="str">
        <f>IF(AND(VLOOKUP(B330,Jul!B:AZ,8,FALSE)&gt;0,VLOOKUP(B330,Jul!B:AZ,6,FALSE)=""), CONCATENATE(TEXT(VLOOKUP(B330,Jul!B:AZ,7,FALSE),"hh:mm"), "-", TEXT(VLOOKUP(B330,Jul!B:AZ,8,FALSE),"[hh]:mm")," Uhr ", IF(VLOOKUP(B330,Jul!B:AZ,12,FALSE)&gt;0, CONCATENATE("und ",TEXT(VLOOKUP(B330,Jul!B:AZ,12,FALSE),"hh:mm"), "-", TEXT(VLOOKUP(B330,Jul!B:AZ,13,FALSE),"[hh]:mm")," Uhr "),"")), IF(VLOOKUP(B330,Jul!B:AZ,6,FALSE)="","",VLOOKUP(VLOOKUP(B330,Jul!B:AZ,6,FALSE),Legende_Code,2,FALSE)))</f>
        <v/>
      </c>
      <c r="E330" s="16" t="str">
        <f>IF(AND(VLOOKUP(B330,Jul!B:AZ,6,FALSE)="", WEEKDAY(B330,2)=6,VLOOKUP(B330,Jul!B:AZ,48,FALSE)&gt;0),VLOOKUP(B330,Jul!B:AZ,48,FALSE)*24,"")</f>
        <v/>
      </c>
      <c r="F330" s="16" t="str">
        <f>IF(AND(VLOOKUP(B330,Jul!B:AZ,6,FALSE)="", WEEKDAY(B330,2)=7,VLOOKUP(B330,Jul!B:AZ,49,FALSE)&gt;0),VLOOKUP(B330,Jul!B:AZ,49,FALSE)*24,"")</f>
        <v/>
      </c>
      <c r="G330" s="16" t="str">
        <f>IF(AND(VLOOKUP(B330,Jul!B:AZ,6,FALSE)="",VLOOKUP(B330,Jul!B:AZ,46,FALSE)&gt;0),VLOOKUP(B330,Jul!B:AZ,46,FALSE)*24,"")</f>
        <v/>
      </c>
      <c r="H330" s="36" t="str">
        <f>IF(AND(VLOOKUP(B330,Jul!B:AZ,6,FALSE)="",VLOOKUP(B330,Jul!B:AZ,50,FALSE)&gt;0),VLOOKUP(B330,Jul!B:AZ,50,FALSE)*24,"")</f>
        <v/>
      </c>
      <c r="I330" s="30" t="str">
        <f>IF(AND(NETWORKDAYS(B330,B330,Feiertage)=1,VLOOKUP(B330,Jul!B:AZ,6,FALSE)="U"),"Urlaub","")</f>
        <v/>
      </c>
      <c r="J330" s="34" t="str">
        <f ca="1">IF(AND(VLOOKUP(B330,Jul!B:AZ,6,FALSE)="",VLOOKUP(B330,Jul!B:AZ,22,FALSE)&lt;0),"Absetzen von","")</f>
        <v/>
      </c>
      <c r="K330" s="263"/>
      <c r="M330" s="316" t="str">
        <f ca="1">IF(VLOOKUP(B330,Jul!B:AZ,22,FALSE)&lt;&gt;0,VLOOKUP(B330,Jul!B:AZ,22,FALSE),"")</f>
        <v/>
      </c>
      <c r="N330" s="327"/>
    </row>
    <row r="331" spans="2:14" x14ac:dyDescent="0.25">
      <c r="B331" s="245">
        <f>Jul!F13</f>
        <v>42190</v>
      </c>
      <c r="C331" s="35">
        <f t="shared" si="4"/>
        <v>42190</v>
      </c>
      <c r="D331" s="17" t="str">
        <f>IF(AND(VLOOKUP(B331,Jul!B:AZ,8,FALSE)&gt;0,VLOOKUP(B331,Jul!B:AZ,6,FALSE)=""), CONCATENATE(TEXT(VLOOKUP(B331,Jul!B:AZ,7,FALSE),"hh:mm"), "-", TEXT(VLOOKUP(B331,Jul!B:AZ,8,FALSE),"[hh]:mm")," Uhr ", IF(VLOOKUP(B331,Jul!B:AZ,12,FALSE)&gt;0, CONCATENATE("und ",TEXT(VLOOKUP(B331,Jul!B:AZ,12,FALSE),"hh:mm"), "-", TEXT(VLOOKUP(B331,Jul!B:AZ,13,FALSE),"[hh]:mm")," Uhr "),"")), IF(VLOOKUP(B331,Jul!B:AZ,6,FALSE)="","",VLOOKUP(VLOOKUP(B331,Jul!B:AZ,6,FALSE),Legende_Code,2,FALSE)))</f>
        <v/>
      </c>
      <c r="E331" s="16" t="str">
        <f>IF(AND(VLOOKUP(B331,Jul!B:AZ,6,FALSE)="", WEEKDAY(B331,2)=6,VLOOKUP(B331,Jul!B:AZ,48,FALSE)&gt;0),VLOOKUP(B331,Jul!B:AZ,48,FALSE)*24,"")</f>
        <v/>
      </c>
      <c r="F331" s="16" t="str">
        <f>IF(AND(VLOOKUP(B331,Jul!B:AZ,6,FALSE)="", WEEKDAY(B331,2)=7,VLOOKUP(B331,Jul!B:AZ,49,FALSE)&gt;0),VLOOKUP(B331,Jul!B:AZ,49,FALSE)*24,"")</f>
        <v/>
      </c>
      <c r="G331" s="16" t="str">
        <f>IF(AND(VLOOKUP(B331,Jul!B:AZ,6,FALSE)="",VLOOKUP(B331,Jul!B:AZ,46,FALSE)&gt;0),VLOOKUP(B331,Jul!B:AZ,46,FALSE)*24,"")</f>
        <v/>
      </c>
      <c r="H331" s="36" t="str">
        <f>IF(AND(VLOOKUP(B331,Jul!B:AZ,6,FALSE)="",VLOOKUP(B331,Jul!B:AZ,50,FALSE)&gt;0),VLOOKUP(B331,Jul!B:AZ,50,FALSE)*24,"")</f>
        <v/>
      </c>
      <c r="I331" s="30" t="str">
        <f>IF(AND(NETWORKDAYS(B331,B331,Feiertage)=1,VLOOKUP(B331,Jul!B:AZ,6,FALSE)="U"),"Urlaub","")</f>
        <v/>
      </c>
      <c r="J331" s="34" t="str">
        <f ca="1">IF(AND(VLOOKUP(B331,Jul!B:AZ,6,FALSE)="",VLOOKUP(B331,Jul!B:AZ,22,FALSE)&lt;0),"Absetzen von","")</f>
        <v/>
      </c>
      <c r="K331" s="263"/>
      <c r="M331" s="316" t="str">
        <f ca="1">IF(VLOOKUP(B331,Jul!B:AZ,22,FALSE)&lt;&gt;0,VLOOKUP(B331,Jul!B:AZ,22,FALSE),"")</f>
        <v/>
      </c>
      <c r="N331" s="327"/>
    </row>
    <row r="332" spans="2:14" x14ac:dyDescent="0.25">
      <c r="B332" s="245">
        <f>Jul!F14</f>
        <v>42191</v>
      </c>
      <c r="C332" s="35">
        <f t="shared" si="4"/>
        <v>42191</v>
      </c>
      <c r="D332" s="17" t="str">
        <f>IF(AND(VLOOKUP(B332,Jul!B:AZ,8,FALSE)&gt;0,VLOOKUP(B332,Jul!B:AZ,6,FALSE)=""), CONCATENATE(TEXT(VLOOKUP(B332,Jul!B:AZ,7,FALSE),"hh:mm"), "-", TEXT(VLOOKUP(B332,Jul!B:AZ,8,FALSE),"[hh]:mm")," Uhr ", IF(VLOOKUP(B332,Jul!B:AZ,12,FALSE)&gt;0, CONCATENATE("und ",TEXT(VLOOKUP(B332,Jul!B:AZ,12,FALSE),"hh:mm"), "-", TEXT(VLOOKUP(B332,Jul!B:AZ,13,FALSE),"[hh]:mm")," Uhr "),"")), IF(VLOOKUP(B332,Jul!B:AZ,6,FALSE)="","",VLOOKUP(VLOOKUP(B332,Jul!B:AZ,6,FALSE),Legende_Code,2,FALSE)))</f>
        <v/>
      </c>
      <c r="E332" s="16" t="str">
        <f>IF(AND(VLOOKUP(B332,Jul!B:AZ,6,FALSE)="", WEEKDAY(B332,2)=6,VLOOKUP(B332,Jul!B:AZ,48,FALSE)&gt;0),VLOOKUP(B332,Jul!B:AZ,48,FALSE)*24,"")</f>
        <v/>
      </c>
      <c r="F332" s="16" t="str">
        <f>IF(AND(VLOOKUP(B332,Jul!B:AZ,6,FALSE)="", WEEKDAY(B332,2)=7,VLOOKUP(B332,Jul!B:AZ,49,FALSE)&gt;0),VLOOKUP(B332,Jul!B:AZ,49,FALSE)*24,"")</f>
        <v/>
      </c>
      <c r="G332" s="16" t="str">
        <f>IF(AND(VLOOKUP(B332,Jul!B:AZ,6,FALSE)="",VLOOKUP(B332,Jul!B:AZ,46,FALSE)&gt;0),VLOOKUP(B332,Jul!B:AZ,46,FALSE)*24,"")</f>
        <v/>
      </c>
      <c r="H332" s="36" t="str">
        <f>IF(AND(VLOOKUP(B332,Jul!B:AZ,6,FALSE)="",VLOOKUP(B332,Jul!B:AZ,50,FALSE)&gt;0),VLOOKUP(B332,Jul!B:AZ,50,FALSE)*24,"")</f>
        <v/>
      </c>
      <c r="I332" s="30" t="str">
        <f>IF(AND(NETWORKDAYS(B332,B332,Feiertage)=1,VLOOKUP(B332,Jul!B:AZ,6,FALSE)="U"),"Urlaub","")</f>
        <v/>
      </c>
      <c r="J332" s="34" t="str">
        <f ca="1">IF(AND(VLOOKUP(B332,Jul!B:AZ,6,FALSE)="",VLOOKUP(B332,Jul!B:AZ,22,FALSE)&lt;0),"Absetzen von","")</f>
        <v/>
      </c>
      <c r="K332" s="263"/>
      <c r="M332" s="316" t="str">
        <f ca="1">IF(VLOOKUP(B332,Jul!B:AZ,22,FALSE)&lt;&gt;0,VLOOKUP(B332,Jul!B:AZ,22,FALSE),"")</f>
        <v/>
      </c>
      <c r="N332" s="327"/>
    </row>
    <row r="333" spans="2:14" x14ac:dyDescent="0.25">
      <c r="B333" s="245">
        <f>Jul!F15</f>
        <v>42192</v>
      </c>
      <c r="C333" s="35">
        <f t="shared" si="4"/>
        <v>42192</v>
      </c>
      <c r="D333" s="17" t="str">
        <f>IF(AND(VLOOKUP(B333,Jul!B:AZ,8,FALSE)&gt;0,VLOOKUP(B333,Jul!B:AZ,6,FALSE)=""), CONCATENATE(TEXT(VLOOKUP(B333,Jul!B:AZ,7,FALSE),"hh:mm"), "-", TEXT(VLOOKUP(B333,Jul!B:AZ,8,FALSE),"[hh]:mm")," Uhr ", IF(VLOOKUP(B333,Jul!B:AZ,12,FALSE)&gt;0, CONCATENATE("und ",TEXT(VLOOKUP(B333,Jul!B:AZ,12,FALSE),"hh:mm"), "-", TEXT(VLOOKUP(B333,Jul!B:AZ,13,FALSE),"[hh]:mm")," Uhr "),"")), IF(VLOOKUP(B333,Jul!B:AZ,6,FALSE)="","",VLOOKUP(VLOOKUP(B333,Jul!B:AZ,6,FALSE),Legende_Code,2,FALSE)))</f>
        <v/>
      </c>
      <c r="E333" s="16" t="str">
        <f>IF(AND(VLOOKUP(B333,Jul!B:AZ,6,FALSE)="", WEEKDAY(B333,2)=6,VLOOKUP(B333,Jul!B:AZ,48,FALSE)&gt;0),VLOOKUP(B333,Jul!B:AZ,48,FALSE)*24,"")</f>
        <v/>
      </c>
      <c r="F333" s="16" t="str">
        <f>IF(AND(VLOOKUP(B333,Jul!B:AZ,6,FALSE)="", WEEKDAY(B333,2)=7,VLOOKUP(B333,Jul!B:AZ,49,FALSE)&gt;0),VLOOKUP(B333,Jul!B:AZ,49,FALSE)*24,"")</f>
        <v/>
      </c>
      <c r="G333" s="16" t="str">
        <f>IF(AND(VLOOKUP(B333,Jul!B:AZ,6,FALSE)="",VLOOKUP(B333,Jul!B:AZ,46,FALSE)&gt;0),VLOOKUP(B333,Jul!B:AZ,46,FALSE)*24,"")</f>
        <v/>
      </c>
      <c r="H333" s="36" t="str">
        <f>IF(AND(VLOOKUP(B333,Jul!B:AZ,6,FALSE)="",VLOOKUP(B333,Jul!B:AZ,50,FALSE)&gt;0),VLOOKUP(B333,Jul!B:AZ,50,FALSE)*24,"")</f>
        <v/>
      </c>
      <c r="I333" s="30" t="str">
        <f>IF(AND(NETWORKDAYS(B333,B333,Feiertage)=1,VLOOKUP(B333,Jul!B:AZ,6,FALSE)="U"),"Urlaub","")</f>
        <v/>
      </c>
      <c r="J333" s="34" t="str">
        <f ca="1">IF(AND(VLOOKUP(B333,Jul!B:AZ,6,FALSE)="",VLOOKUP(B333,Jul!B:AZ,22,FALSE)&lt;0),"Absetzen von","")</f>
        <v/>
      </c>
      <c r="K333" s="263"/>
      <c r="M333" s="316" t="str">
        <f ca="1">IF(VLOOKUP(B333,Jul!B:AZ,22,FALSE)&lt;&gt;0,VLOOKUP(B333,Jul!B:AZ,22,FALSE),"")</f>
        <v/>
      </c>
      <c r="N333" s="327"/>
    </row>
    <row r="334" spans="2:14" x14ac:dyDescent="0.25">
      <c r="B334" s="245">
        <f>Jul!F16</f>
        <v>42193</v>
      </c>
      <c r="C334" s="35">
        <f t="shared" si="4"/>
        <v>42193</v>
      </c>
      <c r="D334" s="17" t="str">
        <f>IF(AND(VLOOKUP(B334,Jul!B:AZ,8,FALSE)&gt;0,VLOOKUP(B334,Jul!B:AZ,6,FALSE)=""), CONCATENATE(TEXT(VLOOKUP(B334,Jul!B:AZ,7,FALSE),"hh:mm"), "-", TEXT(VLOOKUP(B334,Jul!B:AZ,8,FALSE),"[hh]:mm")," Uhr ", IF(VLOOKUP(B334,Jul!B:AZ,12,FALSE)&gt;0, CONCATENATE("und ",TEXT(VLOOKUP(B334,Jul!B:AZ,12,FALSE),"hh:mm"), "-", TEXT(VLOOKUP(B334,Jul!B:AZ,13,FALSE),"[hh]:mm")," Uhr "),"")), IF(VLOOKUP(B334,Jul!B:AZ,6,FALSE)="","",VLOOKUP(VLOOKUP(B334,Jul!B:AZ,6,FALSE),Legende_Code,2,FALSE)))</f>
        <v/>
      </c>
      <c r="E334" s="16" t="str">
        <f>IF(AND(VLOOKUP(B334,Jul!B:AZ,6,FALSE)="", WEEKDAY(B334,2)=6,VLOOKUP(B334,Jul!B:AZ,48,FALSE)&gt;0),VLOOKUP(B334,Jul!B:AZ,48,FALSE)*24,"")</f>
        <v/>
      </c>
      <c r="F334" s="16" t="str">
        <f>IF(AND(VLOOKUP(B334,Jul!B:AZ,6,FALSE)="", WEEKDAY(B334,2)=7,VLOOKUP(B334,Jul!B:AZ,49,FALSE)&gt;0),VLOOKUP(B334,Jul!B:AZ,49,FALSE)*24,"")</f>
        <v/>
      </c>
      <c r="G334" s="16" t="str">
        <f>IF(AND(VLOOKUP(B334,Jul!B:AZ,6,FALSE)="",VLOOKUP(B334,Jul!B:AZ,46,FALSE)&gt;0),VLOOKUP(B334,Jul!B:AZ,46,FALSE)*24,"")</f>
        <v/>
      </c>
      <c r="H334" s="36" t="str">
        <f>IF(AND(VLOOKUP(B334,Jul!B:AZ,6,FALSE)="",VLOOKUP(B334,Jul!B:AZ,50,FALSE)&gt;0),VLOOKUP(B334,Jul!B:AZ,50,FALSE)*24,"")</f>
        <v/>
      </c>
      <c r="I334" s="30" t="str">
        <f>IF(AND(NETWORKDAYS(B334,B334,Feiertage)=1,VLOOKUP(B334,Jul!B:AZ,6,FALSE)="U"),"Urlaub","")</f>
        <v/>
      </c>
      <c r="J334" s="34" t="str">
        <f ca="1">IF(AND(VLOOKUP(B334,Jul!B:AZ,6,FALSE)="",VLOOKUP(B334,Jul!B:AZ,22,FALSE)&lt;0),"Absetzen von","")</f>
        <v/>
      </c>
      <c r="K334" s="263"/>
      <c r="M334" s="316" t="str">
        <f ca="1">IF(VLOOKUP(B334,Jul!B:AZ,22,FALSE)&lt;&gt;0,VLOOKUP(B334,Jul!B:AZ,22,FALSE),"")</f>
        <v/>
      </c>
      <c r="N334" s="327"/>
    </row>
    <row r="335" spans="2:14" x14ac:dyDescent="0.25">
      <c r="B335" s="245">
        <f>Jul!F17</f>
        <v>42194</v>
      </c>
      <c r="C335" s="35">
        <f t="shared" si="4"/>
        <v>42194</v>
      </c>
      <c r="D335" s="17" t="str">
        <f>IF(AND(VLOOKUP(B335,Jul!B:AZ,8,FALSE)&gt;0,VLOOKUP(B335,Jul!B:AZ,6,FALSE)=""), CONCATENATE(TEXT(VLOOKUP(B335,Jul!B:AZ,7,FALSE),"hh:mm"), "-", TEXT(VLOOKUP(B335,Jul!B:AZ,8,FALSE),"[hh]:mm")," Uhr ", IF(VLOOKUP(B335,Jul!B:AZ,12,FALSE)&gt;0, CONCATENATE("und ",TEXT(VLOOKUP(B335,Jul!B:AZ,12,FALSE),"hh:mm"), "-", TEXT(VLOOKUP(B335,Jul!B:AZ,13,FALSE),"[hh]:mm")," Uhr "),"")), IF(VLOOKUP(B335,Jul!B:AZ,6,FALSE)="","",VLOOKUP(VLOOKUP(B335,Jul!B:AZ,6,FALSE),Legende_Code,2,FALSE)))</f>
        <v/>
      </c>
      <c r="E335" s="16" t="str">
        <f>IF(AND(VLOOKUP(B335,Jul!B:AZ,6,FALSE)="", WEEKDAY(B335,2)=6,VLOOKUP(B335,Jul!B:AZ,48,FALSE)&gt;0),VLOOKUP(B335,Jul!B:AZ,48,FALSE)*24,"")</f>
        <v/>
      </c>
      <c r="F335" s="16" t="str">
        <f>IF(AND(VLOOKUP(B335,Jul!B:AZ,6,FALSE)="", WEEKDAY(B335,2)=7,VLOOKUP(B335,Jul!B:AZ,49,FALSE)&gt;0),VLOOKUP(B335,Jul!B:AZ,49,FALSE)*24,"")</f>
        <v/>
      </c>
      <c r="G335" s="16" t="str">
        <f>IF(AND(VLOOKUP(B335,Jul!B:AZ,6,FALSE)="",VLOOKUP(B335,Jul!B:AZ,46,FALSE)&gt;0),VLOOKUP(B335,Jul!B:AZ,46,FALSE)*24,"")</f>
        <v/>
      </c>
      <c r="H335" s="36" t="str">
        <f>IF(AND(VLOOKUP(B335,Jul!B:AZ,6,FALSE)="",VLOOKUP(B335,Jul!B:AZ,50,FALSE)&gt;0),VLOOKUP(B335,Jul!B:AZ,50,FALSE)*24,"")</f>
        <v/>
      </c>
      <c r="I335" s="30" t="str">
        <f>IF(AND(NETWORKDAYS(B335,B335,Feiertage)=1,VLOOKUP(B335,Jul!B:AZ,6,FALSE)="U"),"Urlaub","")</f>
        <v/>
      </c>
      <c r="J335" s="34" t="str">
        <f ca="1">IF(AND(VLOOKUP(B335,Jul!B:AZ,6,FALSE)="",VLOOKUP(B335,Jul!B:AZ,22,FALSE)&lt;0),"Absetzen von","")</f>
        <v/>
      </c>
      <c r="K335" s="263"/>
      <c r="M335" s="316" t="str">
        <f ca="1">IF(VLOOKUP(B335,Jul!B:AZ,22,FALSE)&lt;&gt;0,VLOOKUP(B335,Jul!B:AZ,22,FALSE),"")</f>
        <v/>
      </c>
      <c r="N335" s="327"/>
    </row>
    <row r="336" spans="2:14" x14ac:dyDescent="0.25">
      <c r="B336" s="245">
        <f>Jul!F18</f>
        <v>42195</v>
      </c>
      <c r="C336" s="35">
        <f t="shared" si="4"/>
        <v>42195</v>
      </c>
      <c r="D336" s="17" t="str">
        <f>IF(AND(VLOOKUP(B336,Jul!B:AZ,8,FALSE)&gt;0,VLOOKUP(B336,Jul!B:AZ,6,FALSE)=""), CONCATENATE(TEXT(VLOOKUP(B336,Jul!B:AZ,7,FALSE),"hh:mm"), "-", TEXT(VLOOKUP(B336,Jul!B:AZ,8,FALSE),"[hh]:mm")," Uhr ", IF(VLOOKUP(B336,Jul!B:AZ,12,FALSE)&gt;0, CONCATENATE("und ",TEXT(VLOOKUP(B336,Jul!B:AZ,12,FALSE),"hh:mm"), "-", TEXT(VLOOKUP(B336,Jul!B:AZ,13,FALSE),"[hh]:mm")," Uhr "),"")), IF(VLOOKUP(B336,Jul!B:AZ,6,FALSE)="","",VLOOKUP(VLOOKUP(B336,Jul!B:AZ,6,FALSE),Legende_Code,2,FALSE)))</f>
        <v/>
      </c>
      <c r="E336" s="16" t="str">
        <f>IF(AND(VLOOKUP(B336,Jul!B:AZ,6,FALSE)="", WEEKDAY(B336,2)=6,VLOOKUP(B336,Jul!B:AZ,48,FALSE)&gt;0),VLOOKUP(B336,Jul!B:AZ,48,FALSE)*24,"")</f>
        <v/>
      </c>
      <c r="F336" s="16" t="str">
        <f>IF(AND(VLOOKUP(B336,Jul!B:AZ,6,FALSE)="", WEEKDAY(B336,2)=7,VLOOKUP(B336,Jul!B:AZ,49,FALSE)&gt;0),VLOOKUP(B336,Jul!B:AZ,49,FALSE)*24,"")</f>
        <v/>
      </c>
      <c r="G336" s="16" t="str">
        <f>IF(AND(VLOOKUP(B336,Jul!B:AZ,6,FALSE)="",VLOOKUP(B336,Jul!B:AZ,46,FALSE)&gt;0),VLOOKUP(B336,Jul!B:AZ,46,FALSE)*24,"")</f>
        <v/>
      </c>
      <c r="H336" s="36" t="str">
        <f>IF(AND(VLOOKUP(B336,Jul!B:AZ,6,FALSE)="",VLOOKUP(B336,Jul!B:AZ,50,FALSE)&gt;0),VLOOKUP(B336,Jul!B:AZ,50,FALSE)*24,"")</f>
        <v/>
      </c>
      <c r="I336" s="30" t="str">
        <f>IF(AND(NETWORKDAYS(B336,B336,Feiertage)=1,VLOOKUP(B336,Jul!B:AZ,6,FALSE)="U"),"Urlaub","")</f>
        <v/>
      </c>
      <c r="J336" s="34" t="str">
        <f ca="1">IF(AND(VLOOKUP(B336,Jul!B:AZ,6,FALSE)="",VLOOKUP(B336,Jul!B:AZ,22,FALSE)&lt;0),"Absetzen von","")</f>
        <v/>
      </c>
      <c r="K336" s="263"/>
      <c r="M336" s="316" t="str">
        <f ca="1">IF(VLOOKUP(B336,Jul!B:AZ,22,FALSE)&lt;&gt;0,VLOOKUP(B336,Jul!B:AZ,22,FALSE),"")</f>
        <v/>
      </c>
      <c r="N336" s="327"/>
    </row>
    <row r="337" spans="2:14" x14ac:dyDescent="0.25">
      <c r="B337" s="245">
        <f>Jul!F19</f>
        <v>42196</v>
      </c>
      <c r="C337" s="35">
        <f t="shared" si="4"/>
        <v>42196</v>
      </c>
      <c r="D337" s="17" t="str">
        <f>IF(AND(VLOOKUP(B337,Jul!B:AZ,8,FALSE)&gt;0,VLOOKUP(B337,Jul!B:AZ,6,FALSE)=""), CONCATENATE(TEXT(VLOOKUP(B337,Jul!B:AZ,7,FALSE),"hh:mm"), "-", TEXT(VLOOKUP(B337,Jul!B:AZ,8,FALSE),"[hh]:mm")," Uhr ", IF(VLOOKUP(B337,Jul!B:AZ,12,FALSE)&gt;0, CONCATENATE("und ",TEXT(VLOOKUP(B337,Jul!B:AZ,12,FALSE),"hh:mm"), "-", TEXT(VLOOKUP(B337,Jul!B:AZ,13,FALSE),"[hh]:mm")," Uhr "),"")), IF(VLOOKUP(B337,Jul!B:AZ,6,FALSE)="","",VLOOKUP(VLOOKUP(B337,Jul!B:AZ,6,FALSE),Legende_Code,2,FALSE)))</f>
        <v/>
      </c>
      <c r="E337" s="16" t="str">
        <f>IF(AND(VLOOKUP(B337,Jul!B:AZ,6,FALSE)="", WEEKDAY(B337,2)=6,VLOOKUP(B337,Jul!B:AZ,48,FALSE)&gt;0),VLOOKUP(B337,Jul!B:AZ,48,FALSE)*24,"")</f>
        <v/>
      </c>
      <c r="F337" s="16" t="str">
        <f>IF(AND(VLOOKUP(B337,Jul!B:AZ,6,FALSE)="", WEEKDAY(B337,2)=7,VLOOKUP(B337,Jul!B:AZ,49,FALSE)&gt;0),VLOOKUP(B337,Jul!B:AZ,49,FALSE)*24,"")</f>
        <v/>
      </c>
      <c r="G337" s="16" t="str">
        <f>IF(AND(VLOOKUP(B337,Jul!B:AZ,6,FALSE)="",VLOOKUP(B337,Jul!B:AZ,46,FALSE)&gt;0),VLOOKUP(B337,Jul!B:AZ,46,FALSE)*24,"")</f>
        <v/>
      </c>
      <c r="H337" s="36" t="str">
        <f>IF(AND(VLOOKUP(B337,Jul!B:AZ,6,FALSE)="",VLOOKUP(B337,Jul!B:AZ,50,FALSE)&gt;0),VLOOKUP(B337,Jul!B:AZ,50,FALSE)*24,"")</f>
        <v/>
      </c>
      <c r="I337" s="30" t="str">
        <f>IF(AND(NETWORKDAYS(B337,B337,Feiertage)=1,VLOOKUP(B337,Jul!B:AZ,6,FALSE)="U"),"Urlaub","")</f>
        <v/>
      </c>
      <c r="J337" s="34" t="str">
        <f ca="1">IF(AND(VLOOKUP(B337,Jul!B:AZ,6,FALSE)="",VLOOKUP(B337,Jul!B:AZ,22,FALSE)&lt;0),"Absetzen von","")</f>
        <v/>
      </c>
      <c r="K337" s="263"/>
      <c r="M337" s="316" t="str">
        <f ca="1">IF(VLOOKUP(B337,Jul!B:AZ,22,FALSE)&lt;&gt;0,VLOOKUP(B337,Jul!B:AZ,22,FALSE),"")</f>
        <v/>
      </c>
      <c r="N337" s="327"/>
    </row>
    <row r="338" spans="2:14" x14ac:dyDescent="0.25">
      <c r="B338" s="245">
        <f>Jul!F20</f>
        <v>42197</v>
      </c>
      <c r="C338" s="35">
        <f t="shared" si="4"/>
        <v>42197</v>
      </c>
      <c r="D338" s="17" t="str">
        <f>IF(AND(VLOOKUP(B338,Jul!B:AZ,8,FALSE)&gt;0,VLOOKUP(B338,Jul!B:AZ,6,FALSE)=""), CONCATENATE(TEXT(VLOOKUP(B338,Jul!B:AZ,7,FALSE),"hh:mm"), "-", TEXT(VLOOKUP(B338,Jul!B:AZ,8,FALSE),"[hh]:mm")," Uhr ", IF(VLOOKUP(B338,Jul!B:AZ,12,FALSE)&gt;0, CONCATENATE("und ",TEXT(VLOOKUP(B338,Jul!B:AZ,12,FALSE),"hh:mm"), "-", TEXT(VLOOKUP(B338,Jul!B:AZ,13,FALSE),"[hh]:mm")," Uhr "),"")), IF(VLOOKUP(B338,Jul!B:AZ,6,FALSE)="","",VLOOKUP(VLOOKUP(B338,Jul!B:AZ,6,FALSE),Legende_Code,2,FALSE)))</f>
        <v/>
      </c>
      <c r="E338" s="16" t="str">
        <f>IF(AND(VLOOKUP(B338,Jul!B:AZ,6,FALSE)="", WEEKDAY(B338,2)=6,VLOOKUP(B338,Jul!B:AZ,48,FALSE)&gt;0),VLOOKUP(B338,Jul!B:AZ,48,FALSE)*24,"")</f>
        <v/>
      </c>
      <c r="F338" s="16" t="str">
        <f>IF(AND(VLOOKUP(B338,Jul!B:AZ,6,FALSE)="", WEEKDAY(B338,2)=7,VLOOKUP(B338,Jul!B:AZ,49,FALSE)&gt;0),VLOOKUP(B338,Jul!B:AZ,49,FALSE)*24,"")</f>
        <v/>
      </c>
      <c r="G338" s="16" t="str">
        <f>IF(AND(VLOOKUP(B338,Jul!B:AZ,6,FALSE)="",VLOOKUP(B338,Jul!B:AZ,46,FALSE)&gt;0),VLOOKUP(B338,Jul!B:AZ,46,FALSE)*24,"")</f>
        <v/>
      </c>
      <c r="H338" s="36" t="str">
        <f>IF(AND(VLOOKUP(B338,Jul!B:AZ,6,FALSE)="",VLOOKUP(B338,Jul!B:AZ,50,FALSE)&gt;0),VLOOKUP(B338,Jul!B:AZ,50,FALSE)*24,"")</f>
        <v/>
      </c>
      <c r="I338" s="30" t="str">
        <f>IF(AND(NETWORKDAYS(B338,B338,Feiertage)=1,VLOOKUP(B338,Jul!B:AZ,6,FALSE)="U"),"Urlaub","")</f>
        <v/>
      </c>
      <c r="J338" s="34" t="str">
        <f ca="1">IF(AND(VLOOKUP(B338,Jul!B:AZ,6,FALSE)="",VLOOKUP(B338,Jul!B:AZ,22,FALSE)&lt;0),"Absetzen von","")</f>
        <v/>
      </c>
      <c r="K338" s="263"/>
      <c r="M338" s="316" t="str">
        <f ca="1">IF(VLOOKUP(B338,Jul!B:AZ,22,FALSE)&lt;&gt;0,VLOOKUP(B338,Jul!B:AZ,22,FALSE),"")</f>
        <v/>
      </c>
      <c r="N338" s="327"/>
    </row>
    <row r="339" spans="2:14" x14ac:dyDescent="0.25">
      <c r="B339" s="245">
        <f>Jul!F21</f>
        <v>42198</v>
      </c>
      <c r="C339" s="35">
        <f t="shared" si="4"/>
        <v>42198</v>
      </c>
      <c r="D339" s="17" t="str">
        <f>IF(AND(VLOOKUP(B339,Jul!B:AZ,8,FALSE)&gt;0,VLOOKUP(B339,Jul!B:AZ,6,FALSE)=""), CONCATENATE(TEXT(VLOOKUP(B339,Jul!B:AZ,7,FALSE),"hh:mm"), "-", TEXT(VLOOKUP(B339,Jul!B:AZ,8,FALSE),"[hh]:mm")," Uhr ", IF(VLOOKUP(B339,Jul!B:AZ,12,FALSE)&gt;0, CONCATENATE("und ",TEXT(VLOOKUP(B339,Jul!B:AZ,12,FALSE),"hh:mm"), "-", TEXT(VLOOKUP(B339,Jul!B:AZ,13,FALSE),"[hh]:mm")," Uhr "),"")), IF(VLOOKUP(B339,Jul!B:AZ,6,FALSE)="","",VLOOKUP(VLOOKUP(B339,Jul!B:AZ,6,FALSE),Legende_Code,2,FALSE)))</f>
        <v/>
      </c>
      <c r="E339" s="16" t="str">
        <f>IF(AND(VLOOKUP(B339,Jul!B:AZ,6,FALSE)="", WEEKDAY(B339,2)=6,VLOOKUP(B339,Jul!B:AZ,48,FALSE)&gt;0),VLOOKUP(B339,Jul!B:AZ,48,FALSE)*24,"")</f>
        <v/>
      </c>
      <c r="F339" s="16" t="str">
        <f>IF(AND(VLOOKUP(B339,Jul!B:AZ,6,FALSE)="", WEEKDAY(B339,2)=7,VLOOKUP(B339,Jul!B:AZ,49,FALSE)&gt;0),VLOOKUP(B339,Jul!B:AZ,49,FALSE)*24,"")</f>
        <v/>
      </c>
      <c r="G339" s="16" t="str">
        <f>IF(AND(VLOOKUP(B339,Jul!B:AZ,6,FALSE)="",VLOOKUP(B339,Jul!B:AZ,46,FALSE)&gt;0),VLOOKUP(B339,Jul!B:AZ,46,FALSE)*24,"")</f>
        <v/>
      </c>
      <c r="H339" s="36" t="str">
        <f>IF(AND(VLOOKUP(B339,Jul!B:AZ,6,FALSE)="",VLOOKUP(B339,Jul!B:AZ,50,FALSE)&gt;0),VLOOKUP(B339,Jul!B:AZ,50,FALSE)*24,"")</f>
        <v/>
      </c>
      <c r="I339" s="30" t="str">
        <f>IF(AND(NETWORKDAYS(B339,B339,Feiertage)=1,VLOOKUP(B339,Jul!B:AZ,6,FALSE)="U"),"Urlaub","")</f>
        <v/>
      </c>
      <c r="J339" s="34" t="str">
        <f ca="1">IF(AND(VLOOKUP(B339,Jul!B:AZ,6,FALSE)="",VLOOKUP(B339,Jul!B:AZ,22,FALSE)&lt;0),"Absetzen von","")</f>
        <v/>
      </c>
      <c r="K339" s="263"/>
      <c r="M339" s="316" t="str">
        <f ca="1">IF(VLOOKUP(B339,Jul!B:AZ,22,FALSE)&lt;&gt;0,VLOOKUP(B339,Jul!B:AZ,22,FALSE),"")</f>
        <v/>
      </c>
      <c r="N339" s="327"/>
    </row>
    <row r="340" spans="2:14" x14ac:dyDescent="0.25">
      <c r="B340" s="245">
        <f>Jul!F22</f>
        <v>42199</v>
      </c>
      <c r="C340" s="35">
        <f t="shared" si="4"/>
        <v>42199</v>
      </c>
      <c r="D340" s="17" t="str">
        <f>IF(AND(VLOOKUP(B340,Jul!B:AZ,8,FALSE)&gt;0,VLOOKUP(B340,Jul!B:AZ,6,FALSE)=""), CONCATENATE(TEXT(VLOOKUP(B340,Jul!B:AZ,7,FALSE),"hh:mm"), "-", TEXT(VLOOKUP(B340,Jul!B:AZ,8,FALSE),"[hh]:mm")," Uhr ", IF(VLOOKUP(B340,Jul!B:AZ,12,FALSE)&gt;0, CONCATENATE("und ",TEXT(VLOOKUP(B340,Jul!B:AZ,12,FALSE),"hh:mm"), "-", TEXT(VLOOKUP(B340,Jul!B:AZ,13,FALSE),"[hh]:mm")," Uhr "),"")), IF(VLOOKUP(B340,Jul!B:AZ,6,FALSE)="","",VLOOKUP(VLOOKUP(B340,Jul!B:AZ,6,FALSE),Legende_Code,2,FALSE)))</f>
        <v/>
      </c>
      <c r="E340" s="16" t="str">
        <f>IF(AND(VLOOKUP(B340,Jul!B:AZ,6,FALSE)="", WEEKDAY(B340,2)=6,VLOOKUP(B340,Jul!B:AZ,48,FALSE)&gt;0),VLOOKUP(B340,Jul!B:AZ,48,FALSE)*24,"")</f>
        <v/>
      </c>
      <c r="F340" s="16" t="str">
        <f>IF(AND(VLOOKUP(B340,Jul!B:AZ,6,FALSE)="", WEEKDAY(B340,2)=7,VLOOKUP(B340,Jul!B:AZ,49,FALSE)&gt;0),VLOOKUP(B340,Jul!B:AZ,49,FALSE)*24,"")</f>
        <v/>
      </c>
      <c r="G340" s="16" t="str">
        <f>IF(AND(VLOOKUP(B340,Jul!B:AZ,6,FALSE)="",VLOOKUP(B340,Jul!B:AZ,46,FALSE)&gt;0),VLOOKUP(B340,Jul!B:AZ,46,FALSE)*24,"")</f>
        <v/>
      </c>
      <c r="H340" s="36" t="str">
        <f>IF(AND(VLOOKUP(B340,Jul!B:AZ,6,FALSE)="",VLOOKUP(B340,Jul!B:AZ,50,FALSE)&gt;0),VLOOKUP(B340,Jul!B:AZ,50,FALSE)*24,"")</f>
        <v/>
      </c>
      <c r="I340" s="30" t="str">
        <f>IF(AND(NETWORKDAYS(B340,B340,Feiertage)=1,VLOOKUP(B340,Jul!B:AZ,6,FALSE)="U"),"Urlaub","")</f>
        <v/>
      </c>
      <c r="J340" s="34" t="str">
        <f ca="1">IF(AND(VLOOKUP(B340,Jul!B:AZ,6,FALSE)="",VLOOKUP(B340,Jul!B:AZ,22,FALSE)&lt;0),"Absetzen von","")</f>
        <v/>
      </c>
      <c r="K340" s="263"/>
      <c r="M340" s="316" t="str">
        <f ca="1">IF(VLOOKUP(B340,Jul!B:AZ,22,FALSE)&lt;&gt;0,VLOOKUP(B340,Jul!B:AZ,22,FALSE),"")</f>
        <v/>
      </c>
      <c r="N340" s="327"/>
    </row>
    <row r="341" spans="2:14" x14ac:dyDescent="0.25">
      <c r="B341" s="245">
        <f>Jul!F23</f>
        <v>42200</v>
      </c>
      <c r="C341" s="35">
        <f t="shared" si="4"/>
        <v>42200</v>
      </c>
      <c r="D341" s="17" t="str">
        <f>IF(AND(VLOOKUP(B341,Jul!B:AZ,8,FALSE)&gt;0,VLOOKUP(B341,Jul!B:AZ,6,FALSE)=""), CONCATENATE(TEXT(VLOOKUP(B341,Jul!B:AZ,7,FALSE),"hh:mm"), "-", TEXT(VLOOKUP(B341,Jul!B:AZ,8,FALSE),"[hh]:mm")," Uhr ", IF(VLOOKUP(B341,Jul!B:AZ,12,FALSE)&gt;0, CONCATENATE("und ",TEXT(VLOOKUP(B341,Jul!B:AZ,12,FALSE),"hh:mm"), "-", TEXT(VLOOKUP(B341,Jul!B:AZ,13,FALSE),"[hh]:mm")," Uhr "),"")), IF(VLOOKUP(B341,Jul!B:AZ,6,FALSE)="","",VLOOKUP(VLOOKUP(B341,Jul!B:AZ,6,FALSE),Legende_Code,2,FALSE)))</f>
        <v/>
      </c>
      <c r="E341" s="16" t="str">
        <f>IF(AND(VLOOKUP(B341,Jul!B:AZ,6,FALSE)="", WEEKDAY(B341,2)=6,VLOOKUP(B341,Jul!B:AZ,48,FALSE)&gt;0),VLOOKUP(B341,Jul!B:AZ,48,FALSE)*24,"")</f>
        <v/>
      </c>
      <c r="F341" s="16" t="str">
        <f>IF(AND(VLOOKUP(B341,Jul!B:AZ,6,FALSE)="", WEEKDAY(B341,2)=7,VLOOKUP(B341,Jul!B:AZ,49,FALSE)&gt;0),VLOOKUP(B341,Jul!B:AZ,49,FALSE)*24,"")</f>
        <v/>
      </c>
      <c r="G341" s="16" t="str">
        <f>IF(AND(VLOOKUP(B341,Jul!B:AZ,6,FALSE)="",VLOOKUP(B341,Jul!B:AZ,46,FALSE)&gt;0),VLOOKUP(B341,Jul!B:AZ,46,FALSE)*24,"")</f>
        <v/>
      </c>
      <c r="H341" s="36" t="str">
        <f>IF(AND(VLOOKUP(B341,Jul!B:AZ,6,FALSE)="",VLOOKUP(B341,Jul!B:AZ,50,FALSE)&gt;0),VLOOKUP(B341,Jul!B:AZ,50,FALSE)*24,"")</f>
        <v/>
      </c>
      <c r="I341" s="30" t="str">
        <f>IF(AND(NETWORKDAYS(B341,B341,Feiertage)=1,VLOOKUP(B341,Jul!B:AZ,6,FALSE)="U"),"Urlaub","")</f>
        <v/>
      </c>
      <c r="J341" s="34" t="str">
        <f ca="1">IF(AND(VLOOKUP(B341,Jul!B:AZ,6,FALSE)="",VLOOKUP(B341,Jul!B:AZ,22,FALSE)&lt;0),"Absetzen von","")</f>
        <v/>
      </c>
      <c r="K341" s="263"/>
      <c r="M341" s="316" t="str">
        <f ca="1">IF(VLOOKUP(B341,Jul!B:AZ,22,FALSE)&lt;&gt;0,VLOOKUP(B341,Jul!B:AZ,22,FALSE),"")</f>
        <v/>
      </c>
      <c r="N341" s="327"/>
    </row>
    <row r="342" spans="2:14" x14ac:dyDescent="0.25">
      <c r="B342" s="245">
        <f>Jul!F24</f>
        <v>42201</v>
      </c>
      <c r="C342" s="35">
        <f t="shared" si="4"/>
        <v>42201</v>
      </c>
      <c r="D342" s="17" t="str">
        <f>IF(AND(VLOOKUP(B342,Jul!B:AZ,8,FALSE)&gt;0,VLOOKUP(B342,Jul!B:AZ,6,FALSE)=""), CONCATENATE(TEXT(VLOOKUP(B342,Jul!B:AZ,7,FALSE),"hh:mm"), "-", TEXT(VLOOKUP(B342,Jul!B:AZ,8,FALSE),"[hh]:mm")," Uhr ", IF(VLOOKUP(B342,Jul!B:AZ,12,FALSE)&gt;0, CONCATENATE("und ",TEXT(VLOOKUP(B342,Jul!B:AZ,12,FALSE),"hh:mm"), "-", TEXT(VLOOKUP(B342,Jul!B:AZ,13,FALSE),"[hh]:mm")," Uhr "),"")), IF(VLOOKUP(B342,Jul!B:AZ,6,FALSE)="","",VLOOKUP(VLOOKUP(B342,Jul!B:AZ,6,FALSE),Legende_Code,2,FALSE)))</f>
        <v/>
      </c>
      <c r="E342" s="16" t="str">
        <f>IF(AND(VLOOKUP(B342,Jul!B:AZ,6,FALSE)="", WEEKDAY(B342,2)=6,VLOOKUP(B342,Jul!B:AZ,48,FALSE)&gt;0),VLOOKUP(B342,Jul!B:AZ,48,FALSE)*24,"")</f>
        <v/>
      </c>
      <c r="F342" s="16" t="str">
        <f>IF(AND(VLOOKUP(B342,Jul!B:AZ,6,FALSE)="", WEEKDAY(B342,2)=7,VLOOKUP(B342,Jul!B:AZ,49,FALSE)&gt;0),VLOOKUP(B342,Jul!B:AZ,49,FALSE)*24,"")</f>
        <v/>
      </c>
      <c r="G342" s="16" t="str">
        <f>IF(AND(VLOOKUP(B342,Jul!B:AZ,6,FALSE)="",VLOOKUP(B342,Jul!B:AZ,46,FALSE)&gt;0),VLOOKUP(B342,Jul!B:AZ,46,FALSE)*24,"")</f>
        <v/>
      </c>
      <c r="H342" s="36" t="str">
        <f>IF(AND(VLOOKUP(B342,Jul!B:AZ,6,FALSE)="",VLOOKUP(B342,Jul!B:AZ,50,FALSE)&gt;0),VLOOKUP(B342,Jul!B:AZ,50,FALSE)*24,"")</f>
        <v/>
      </c>
      <c r="I342" s="30" t="str">
        <f>IF(AND(NETWORKDAYS(B342,B342,Feiertage)=1,VLOOKUP(B342,Jul!B:AZ,6,FALSE)="U"),"Urlaub","")</f>
        <v/>
      </c>
      <c r="J342" s="34" t="str">
        <f ca="1">IF(AND(VLOOKUP(B342,Jul!B:AZ,6,FALSE)="",VLOOKUP(B342,Jul!B:AZ,22,FALSE)&lt;0),"Absetzen von","")</f>
        <v/>
      </c>
      <c r="K342" s="263"/>
      <c r="M342" s="316" t="str">
        <f ca="1">IF(VLOOKUP(B342,Jul!B:AZ,22,FALSE)&lt;&gt;0,VLOOKUP(B342,Jul!B:AZ,22,FALSE),"")</f>
        <v/>
      </c>
      <c r="N342" s="327"/>
    </row>
    <row r="343" spans="2:14" x14ac:dyDescent="0.25">
      <c r="B343" s="245">
        <f>Jul!F25</f>
        <v>42202</v>
      </c>
      <c r="C343" s="35">
        <f t="shared" si="4"/>
        <v>42202</v>
      </c>
      <c r="D343" s="17" t="str">
        <f>IF(AND(VLOOKUP(B343,Jul!B:AZ,8,FALSE)&gt;0,VLOOKUP(B343,Jul!B:AZ,6,FALSE)=""), CONCATENATE(TEXT(VLOOKUP(B343,Jul!B:AZ,7,FALSE),"hh:mm"), "-", TEXT(VLOOKUP(B343,Jul!B:AZ,8,FALSE),"[hh]:mm")," Uhr ", IF(VLOOKUP(B343,Jul!B:AZ,12,FALSE)&gt;0, CONCATENATE("und ",TEXT(VLOOKUP(B343,Jul!B:AZ,12,FALSE),"hh:mm"), "-", TEXT(VLOOKUP(B343,Jul!B:AZ,13,FALSE),"[hh]:mm")," Uhr "),"")), IF(VLOOKUP(B343,Jul!B:AZ,6,FALSE)="","",VLOOKUP(VLOOKUP(B343,Jul!B:AZ,6,FALSE),Legende_Code,2,FALSE)))</f>
        <v/>
      </c>
      <c r="E343" s="16" t="str">
        <f>IF(AND(VLOOKUP(B343,Jul!B:AZ,6,FALSE)="", WEEKDAY(B343,2)=6,VLOOKUP(B343,Jul!B:AZ,48,FALSE)&gt;0),VLOOKUP(B343,Jul!B:AZ,48,FALSE)*24,"")</f>
        <v/>
      </c>
      <c r="F343" s="16" t="str">
        <f>IF(AND(VLOOKUP(B343,Jul!B:AZ,6,FALSE)="", WEEKDAY(B343,2)=7,VLOOKUP(B343,Jul!B:AZ,49,FALSE)&gt;0),VLOOKUP(B343,Jul!B:AZ,49,FALSE)*24,"")</f>
        <v/>
      </c>
      <c r="G343" s="16" t="str">
        <f>IF(AND(VLOOKUP(B343,Jul!B:AZ,6,FALSE)="",VLOOKUP(B343,Jul!B:AZ,46,FALSE)&gt;0),VLOOKUP(B343,Jul!B:AZ,46,FALSE)*24,"")</f>
        <v/>
      </c>
      <c r="H343" s="36" t="str">
        <f>IF(AND(VLOOKUP(B343,Jul!B:AZ,6,FALSE)="",VLOOKUP(B343,Jul!B:AZ,50,FALSE)&gt;0),VLOOKUP(B343,Jul!B:AZ,50,FALSE)*24,"")</f>
        <v/>
      </c>
      <c r="I343" s="30" t="str">
        <f>IF(AND(NETWORKDAYS(B343,B343,Feiertage)=1,VLOOKUP(B343,Jul!B:AZ,6,FALSE)="U"),"Urlaub","")</f>
        <v/>
      </c>
      <c r="J343" s="34" t="str">
        <f ca="1">IF(AND(VLOOKUP(B343,Jul!B:AZ,6,FALSE)="",VLOOKUP(B343,Jul!B:AZ,22,FALSE)&lt;0),"Absetzen von","")</f>
        <v/>
      </c>
      <c r="K343" s="263"/>
      <c r="M343" s="316" t="str">
        <f ca="1">IF(VLOOKUP(B343,Jul!B:AZ,22,FALSE)&lt;&gt;0,VLOOKUP(B343,Jul!B:AZ,22,FALSE),"")</f>
        <v/>
      </c>
      <c r="N343" s="327"/>
    </row>
    <row r="344" spans="2:14" x14ac:dyDescent="0.25">
      <c r="B344" s="245">
        <f>Jul!F26</f>
        <v>42203</v>
      </c>
      <c r="C344" s="35">
        <f t="shared" si="4"/>
        <v>42203</v>
      </c>
      <c r="D344" s="17" t="str">
        <f>IF(AND(VLOOKUP(B344,Jul!B:AZ,8,FALSE)&gt;0,VLOOKUP(B344,Jul!B:AZ,6,FALSE)=""), CONCATENATE(TEXT(VLOOKUP(B344,Jul!B:AZ,7,FALSE),"hh:mm"), "-", TEXT(VLOOKUP(B344,Jul!B:AZ,8,FALSE),"[hh]:mm")," Uhr ", IF(VLOOKUP(B344,Jul!B:AZ,12,FALSE)&gt;0, CONCATENATE("und ",TEXT(VLOOKUP(B344,Jul!B:AZ,12,FALSE),"hh:mm"), "-", TEXT(VLOOKUP(B344,Jul!B:AZ,13,FALSE),"[hh]:mm")," Uhr "),"")), IF(VLOOKUP(B344,Jul!B:AZ,6,FALSE)="","",VLOOKUP(VLOOKUP(B344,Jul!B:AZ,6,FALSE),Legende_Code,2,FALSE)))</f>
        <v/>
      </c>
      <c r="E344" s="16" t="str">
        <f>IF(AND(VLOOKUP(B344,Jul!B:AZ,6,FALSE)="", WEEKDAY(B344,2)=6,VLOOKUP(B344,Jul!B:AZ,48,FALSE)&gt;0),VLOOKUP(B344,Jul!B:AZ,48,FALSE)*24,"")</f>
        <v/>
      </c>
      <c r="F344" s="16" t="str">
        <f>IF(AND(VLOOKUP(B344,Jul!B:AZ,6,FALSE)="", WEEKDAY(B344,2)=7,VLOOKUP(B344,Jul!B:AZ,49,FALSE)&gt;0),VLOOKUP(B344,Jul!B:AZ,49,FALSE)*24,"")</f>
        <v/>
      </c>
      <c r="G344" s="16" t="str">
        <f>IF(AND(VLOOKUP(B344,Jul!B:AZ,6,FALSE)="",VLOOKUP(B344,Jul!B:AZ,46,FALSE)&gt;0),VLOOKUP(B344,Jul!B:AZ,46,FALSE)*24,"")</f>
        <v/>
      </c>
      <c r="H344" s="36" t="str">
        <f>IF(AND(VLOOKUP(B344,Jul!B:AZ,6,FALSE)="",VLOOKUP(B344,Jul!B:AZ,50,FALSE)&gt;0),VLOOKUP(B344,Jul!B:AZ,50,FALSE)*24,"")</f>
        <v/>
      </c>
      <c r="I344" s="30" t="str">
        <f>IF(AND(NETWORKDAYS(B344,B344,Feiertage)=1,VLOOKUP(B344,Jul!B:AZ,6,FALSE)="U"),"Urlaub","")</f>
        <v/>
      </c>
      <c r="J344" s="34" t="str">
        <f ca="1">IF(AND(VLOOKUP(B344,Jul!B:AZ,6,FALSE)="",VLOOKUP(B344,Jul!B:AZ,22,FALSE)&lt;0),"Absetzen von","")</f>
        <v/>
      </c>
      <c r="K344" s="263"/>
      <c r="M344" s="316" t="str">
        <f ca="1">IF(VLOOKUP(B344,Jul!B:AZ,22,FALSE)&lt;&gt;0,VLOOKUP(B344,Jul!B:AZ,22,FALSE),"")</f>
        <v/>
      </c>
      <c r="N344" s="327"/>
    </row>
    <row r="345" spans="2:14" x14ac:dyDescent="0.25">
      <c r="B345" s="245">
        <f>Jul!F27</f>
        <v>42204</v>
      </c>
      <c r="C345" s="35">
        <f t="shared" si="4"/>
        <v>42204</v>
      </c>
      <c r="D345" s="17" t="str">
        <f>IF(AND(VLOOKUP(B345,Jul!B:AZ,8,FALSE)&gt;0,VLOOKUP(B345,Jul!B:AZ,6,FALSE)=""), CONCATENATE(TEXT(VLOOKUP(B345,Jul!B:AZ,7,FALSE),"hh:mm"), "-", TEXT(VLOOKUP(B345,Jul!B:AZ,8,FALSE),"[hh]:mm")," Uhr ", IF(VLOOKUP(B345,Jul!B:AZ,12,FALSE)&gt;0, CONCATENATE("und ",TEXT(VLOOKUP(B345,Jul!B:AZ,12,FALSE),"hh:mm"), "-", TEXT(VLOOKUP(B345,Jul!B:AZ,13,FALSE),"[hh]:mm")," Uhr "),"")), IF(VLOOKUP(B345,Jul!B:AZ,6,FALSE)="","",VLOOKUP(VLOOKUP(B345,Jul!B:AZ,6,FALSE),Legende_Code,2,FALSE)))</f>
        <v/>
      </c>
      <c r="E345" s="16" t="str">
        <f>IF(AND(VLOOKUP(B345,Jul!B:AZ,6,FALSE)="", WEEKDAY(B345,2)=6,VLOOKUP(B345,Jul!B:AZ,48,FALSE)&gt;0),VLOOKUP(B345,Jul!B:AZ,48,FALSE)*24,"")</f>
        <v/>
      </c>
      <c r="F345" s="16" t="str">
        <f>IF(AND(VLOOKUP(B345,Jul!B:AZ,6,FALSE)="", WEEKDAY(B345,2)=7,VLOOKUP(B345,Jul!B:AZ,49,FALSE)&gt;0),VLOOKUP(B345,Jul!B:AZ,49,FALSE)*24,"")</f>
        <v/>
      </c>
      <c r="G345" s="16" t="str">
        <f>IF(AND(VLOOKUP(B345,Jul!B:AZ,6,FALSE)="",VLOOKUP(B345,Jul!B:AZ,46,FALSE)&gt;0),VLOOKUP(B345,Jul!B:AZ,46,FALSE)*24,"")</f>
        <v/>
      </c>
      <c r="H345" s="36" t="str">
        <f>IF(AND(VLOOKUP(B345,Jul!B:AZ,6,FALSE)="",VLOOKUP(B345,Jul!B:AZ,50,FALSE)&gt;0),VLOOKUP(B345,Jul!B:AZ,50,FALSE)*24,"")</f>
        <v/>
      </c>
      <c r="I345" s="30" t="str">
        <f>IF(AND(NETWORKDAYS(B345,B345,Feiertage)=1,VLOOKUP(B345,Jul!B:AZ,6,FALSE)="U"),"Urlaub","")</f>
        <v/>
      </c>
      <c r="J345" s="34" t="str">
        <f ca="1">IF(AND(VLOOKUP(B345,Jul!B:AZ,6,FALSE)="",VLOOKUP(B345,Jul!B:AZ,22,FALSE)&lt;0),"Absetzen von","")</f>
        <v/>
      </c>
      <c r="K345" s="263"/>
      <c r="M345" s="316" t="str">
        <f ca="1">IF(VLOOKUP(B345,Jul!B:AZ,22,FALSE)&lt;&gt;0,VLOOKUP(B345,Jul!B:AZ,22,FALSE),"")</f>
        <v/>
      </c>
      <c r="N345" s="327"/>
    </row>
    <row r="346" spans="2:14" x14ac:dyDescent="0.25">
      <c r="B346" s="245">
        <f>Jul!F28</f>
        <v>42205</v>
      </c>
      <c r="C346" s="35">
        <f t="shared" si="4"/>
        <v>42205</v>
      </c>
      <c r="D346" s="17" t="str">
        <f>IF(AND(VLOOKUP(B346,Jul!B:AZ,8,FALSE)&gt;0,VLOOKUP(B346,Jul!B:AZ,6,FALSE)=""), CONCATENATE(TEXT(VLOOKUP(B346,Jul!B:AZ,7,FALSE),"hh:mm"), "-", TEXT(VLOOKUP(B346,Jul!B:AZ,8,FALSE),"[hh]:mm")," Uhr ", IF(VLOOKUP(B346,Jul!B:AZ,12,FALSE)&gt;0, CONCATENATE("und ",TEXT(VLOOKUP(B346,Jul!B:AZ,12,FALSE),"hh:mm"), "-", TEXT(VLOOKUP(B346,Jul!B:AZ,13,FALSE),"[hh]:mm")," Uhr "),"")), IF(VLOOKUP(B346,Jul!B:AZ,6,FALSE)="","",VLOOKUP(VLOOKUP(B346,Jul!B:AZ,6,FALSE),Legende_Code,2,FALSE)))</f>
        <v/>
      </c>
      <c r="E346" s="16" t="str">
        <f>IF(AND(VLOOKUP(B346,Jul!B:AZ,6,FALSE)="", WEEKDAY(B346,2)=6,VLOOKUP(B346,Jul!B:AZ,48,FALSE)&gt;0),VLOOKUP(B346,Jul!B:AZ,48,FALSE)*24,"")</f>
        <v/>
      </c>
      <c r="F346" s="16" t="str">
        <f>IF(AND(VLOOKUP(B346,Jul!B:AZ,6,FALSE)="", WEEKDAY(B346,2)=7,VLOOKUP(B346,Jul!B:AZ,49,FALSE)&gt;0),VLOOKUP(B346,Jul!B:AZ,49,FALSE)*24,"")</f>
        <v/>
      </c>
      <c r="G346" s="16" t="str">
        <f>IF(AND(VLOOKUP(B346,Jul!B:AZ,6,FALSE)="",VLOOKUP(B346,Jul!B:AZ,46,FALSE)&gt;0),VLOOKUP(B346,Jul!B:AZ,46,FALSE)*24,"")</f>
        <v/>
      </c>
      <c r="H346" s="36" t="str">
        <f>IF(AND(VLOOKUP(B346,Jul!B:AZ,6,FALSE)="",VLOOKUP(B346,Jul!B:AZ,50,FALSE)&gt;0),VLOOKUP(B346,Jul!B:AZ,50,FALSE)*24,"")</f>
        <v/>
      </c>
      <c r="I346" s="30" t="str">
        <f>IF(AND(NETWORKDAYS(B346,B346,Feiertage)=1,VLOOKUP(B346,Jul!B:AZ,6,FALSE)="U"),"Urlaub","")</f>
        <v/>
      </c>
      <c r="J346" s="34" t="str">
        <f ca="1">IF(AND(VLOOKUP(B346,Jul!B:AZ,6,FALSE)="",VLOOKUP(B346,Jul!B:AZ,22,FALSE)&lt;0),"Absetzen von","")</f>
        <v/>
      </c>
      <c r="K346" s="263"/>
      <c r="M346" s="316" t="str">
        <f ca="1">IF(VLOOKUP(B346,Jul!B:AZ,22,FALSE)&lt;&gt;0,VLOOKUP(B346,Jul!B:AZ,22,FALSE),"")</f>
        <v/>
      </c>
      <c r="N346" s="327"/>
    </row>
    <row r="347" spans="2:14" x14ac:dyDescent="0.25">
      <c r="B347" s="245">
        <f>Jul!F29</f>
        <v>42206</v>
      </c>
      <c r="C347" s="35">
        <f t="shared" si="4"/>
        <v>42206</v>
      </c>
      <c r="D347" s="17" t="str">
        <f>IF(AND(VLOOKUP(B347,Jul!B:AZ,8,FALSE)&gt;0,VLOOKUP(B347,Jul!B:AZ,6,FALSE)=""), CONCATENATE(TEXT(VLOOKUP(B347,Jul!B:AZ,7,FALSE),"hh:mm"), "-", TEXT(VLOOKUP(B347,Jul!B:AZ,8,FALSE),"[hh]:mm")," Uhr ", IF(VLOOKUP(B347,Jul!B:AZ,12,FALSE)&gt;0, CONCATENATE("und ",TEXT(VLOOKUP(B347,Jul!B:AZ,12,FALSE),"hh:mm"), "-", TEXT(VLOOKUP(B347,Jul!B:AZ,13,FALSE),"[hh]:mm")," Uhr "),"")), IF(VLOOKUP(B347,Jul!B:AZ,6,FALSE)="","",VLOOKUP(VLOOKUP(B347,Jul!B:AZ,6,FALSE),Legende_Code,2,FALSE)))</f>
        <v/>
      </c>
      <c r="E347" s="16" t="str">
        <f>IF(AND(VLOOKUP(B347,Jul!B:AZ,6,FALSE)="", WEEKDAY(B347,2)=6,VLOOKUP(B347,Jul!B:AZ,48,FALSE)&gt;0),VLOOKUP(B347,Jul!B:AZ,48,FALSE)*24,"")</f>
        <v/>
      </c>
      <c r="F347" s="16" t="str">
        <f>IF(AND(VLOOKUP(B347,Jul!B:AZ,6,FALSE)="", WEEKDAY(B347,2)=7,VLOOKUP(B347,Jul!B:AZ,49,FALSE)&gt;0),VLOOKUP(B347,Jul!B:AZ,49,FALSE)*24,"")</f>
        <v/>
      </c>
      <c r="G347" s="16" t="str">
        <f>IF(AND(VLOOKUP(B347,Jul!B:AZ,6,FALSE)="",VLOOKUP(B347,Jul!B:AZ,46,FALSE)&gt;0),VLOOKUP(B347,Jul!B:AZ,46,FALSE)*24,"")</f>
        <v/>
      </c>
      <c r="H347" s="36" t="str">
        <f>IF(AND(VLOOKUP(B347,Jul!B:AZ,6,FALSE)="",VLOOKUP(B347,Jul!B:AZ,50,FALSE)&gt;0),VLOOKUP(B347,Jul!B:AZ,50,FALSE)*24,"")</f>
        <v/>
      </c>
      <c r="I347" s="30" t="str">
        <f>IF(AND(NETWORKDAYS(B347,B347,Feiertage)=1,VLOOKUP(B347,Jul!B:AZ,6,FALSE)="U"),"Urlaub","")</f>
        <v/>
      </c>
      <c r="J347" s="34" t="str">
        <f ca="1">IF(AND(VLOOKUP(B347,Jul!B:AZ,6,FALSE)="",VLOOKUP(B347,Jul!B:AZ,22,FALSE)&lt;0),"Absetzen von","")</f>
        <v/>
      </c>
      <c r="K347" s="263"/>
      <c r="M347" s="316" t="str">
        <f ca="1">IF(VLOOKUP(B347,Jul!B:AZ,22,FALSE)&lt;&gt;0,VLOOKUP(B347,Jul!B:AZ,22,FALSE),"")</f>
        <v/>
      </c>
      <c r="N347" s="327"/>
    </row>
    <row r="348" spans="2:14" x14ac:dyDescent="0.25">
      <c r="B348" s="245">
        <f>Jul!F30</f>
        <v>42207</v>
      </c>
      <c r="C348" s="35">
        <f t="shared" si="4"/>
        <v>42207</v>
      </c>
      <c r="D348" s="17" t="str">
        <f>IF(AND(VLOOKUP(B348,Jul!B:AZ,8,FALSE)&gt;0,VLOOKUP(B348,Jul!B:AZ,6,FALSE)=""), CONCATENATE(TEXT(VLOOKUP(B348,Jul!B:AZ,7,FALSE),"hh:mm"), "-", TEXT(VLOOKUP(B348,Jul!B:AZ,8,FALSE),"[hh]:mm")," Uhr ", IF(VLOOKUP(B348,Jul!B:AZ,12,FALSE)&gt;0, CONCATENATE("und ",TEXT(VLOOKUP(B348,Jul!B:AZ,12,FALSE),"hh:mm"), "-", TEXT(VLOOKUP(B348,Jul!B:AZ,13,FALSE),"[hh]:mm")," Uhr "),"")), IF(VLOOKUP(B348,Jul!B:AZ,6,FALSE)="","",VLOOKUP(VLOOKUP(B348,Jul!B:AZ,6,FALSE),Legende_Code,2,FALSE)))</f>
        <v/>
      </c>
      <c r="E348" s="16" t="str">
        <f>IF(AND(VLOOKUP(B348,Jul!B:AZ,6,FALSE)="", WEEKDAY(B348,2)=6,VLOOKUP(B348,Jul!B:AZ,48,FALSE)&gt;0),VLOOKUP(B348,Jul!B:AZ,48,FALSE)*24,"")</f>
        <v/>
      </c>
      <c r="F348" s="16" t="str">
        <f>IF(AND(VLOOKUP(B348,Jul!B:AZ,6,FALSE)="", WEEKDAY(B348,2)=7,VLOOKUP(B348,Jul!B:AZ,49,FALSE)&gt;0),VLOOKUP(B348,Jul!B:AZ,49,FALSE)*24,"")</f>
        <v/>
      </c>
      <c r="G348" s="16" t="str">
        <f>IF(AND(VLOOKUP(B348,Jul!B:AZ,6,FALSE)="",VLOOKUP(B348,Jul!B:AZ,46,FALSE)&gt;0),VLOOKUP(B348,Jul!B:AZ,46,FALSE)*24,"")</f>
        <v/>
      </c>
      <c r="H348" s="36" t="str">
        <f>IF(AND(VLOOKUP(B348,Jul!B:AZ,6,FALSE)="",VLOOKUP(B348,Jul!B:AZ,50,FALSE)&gt;0),VLOOKUP(B348,Jul!B:AZ,50,FALSE)*24,"")</f>
        <v/>
      </c>
      <c r="I348" s="30" t="str">
        <f>IF(AND(NETWORKDAYS(B348,B348,Feiertage)=1,VLOOKUP(B348,Jul!B:AZ,6,FALSE)="U"),"Urlaub","")</f>
        <v/>
      </c>
      <c r="J348" s="34" t="str">
        <f ca="1">IF(AND(VLOOKUP(B348,Jul!B:AZ,6,FALSE)="",VLOOKUP(B348,Jul!B:AZ,22,FALSE)&lt;0),"Absetzen von","")</f>
        <v/>
      </c>
      <c r="K348" s="263"/>
      <c r="M348" s="316" t="str">
        <f ca="1">IF(VLOOKUP(B348,Jul!B:AZ,22,FALSE)&lt;&gt;0,VLOOKUP(B348,Jul!B:AZ,22,FALSE),"")</f>
        <v/>
      </c>
      <c r="N348" s="327"/>
    </row>
    <row r="349" spans="2:14" x14ac:dyDescent="0.25">
      <c r="B349" s="245">
        <f>Jul!F31</f>
        <v>42208</v>
      </c>
      <c r="C349" s="35">
        <f t="shared" si="4"/>
        <v>42208</v>
      </c>
      <c r="D349" s="17" t="str">
        <f>IF(AND(VLOOKUP(B349,Jul!B:AZ,8,FALSE)&gt;0,VLOOKUP(B349,Jul!B:AZ,6,FALSE)=""), CONCATENATE(TEXT(VLOOKUP(B349,Jul!B:AZ,7,FALSE),"hh:mm"), "-", TEXT(VLOOKUP(B349,Jul!B:AZ,8,FALSE),"[hh]:mm")," Uhr ", IF(VLOOKUP(B349,Jul!B:AZ,12,FALSE)&gt;0, CONCATENATE("und ",TEXT(VLOOKUP(B349,Jul!B:AZ,12,FALSE),"hh:mm"), "-", TEXT(VLOOKUP(B349,Jul!B:AZ,13,FALSE),"[hh]:mm")," Uhr "),"")), IF(VLOOKUP(B349,Jul!B:AZ,6,FALSE)="","",VLOOKUP(VLOOKUP(B349,Jul!B:AZ,6,FALSE),Legende_Code,2,FALSE)))</f>
        <v/>
      </c>
      <c r="E349" s="16" t="str">
        <f>IF(AND(VLOOKUP(B349,Jul!B:AZ,6,FALSE)="", WEEKDAY(B349,2)=6,VLOOKUP(B349,Jul!B:AZ,48,FALSE)&gt;0),VLOOKUP(B349,Jul!B:AZ,48,FALSE)*24,"")</f>
        <v/>
      </c>
      <c r="F349" s="16" t="str">
        <f>IF(AND(VLOOKUP(B349,Jul!B:AZ,6,FALSE)="", WEEKDAY(B349,2)=7,VLOOKUP(B349,Jul!B:AZ,49,FALSE)&gt;0),VLOOKUP(B349,Jul!B:AZ,49,FALSE)*24,"")</f>
        <v/>
      </c>
      <c r="G349" s="16" t="str">
        <f>IF(AND(VLOOKUP(B349,Jul!B:AZ,6,FALSE)="",VLOOKUP(B349,Jul!B:AZ,46,FALSE)&gt;0),VLOOKUP(B349,Jul!B:AZ,46,FALSE)*24,"")</f>
        <v/>
      </c>
      <c r="H349" s="36" t="str">
        <f>IF(AND(VLOOKUP(B349,Jul!B:AZ,6,FALSE)="",VLOOKUP(B349,Jul!B:AZ,50,FALSE)&gt;0),VLOOKUP(B349,Jul!B:AZ,50,FALSE)*24,"")</f>
        <v/>
      </c>
      <c r="I349" s="30" t="str">
        <f>IF(AND(NETWORKDAYS(B349,B349,Feiertage)=1,VLOOKUP(B349,Jul!B:AZ,6,FALSE)="U"),"Urlaub","")</f>
        <v/>
      </c>
      <c r="J349" s="34" t="str">
        <f ca="1">IF(AND(VLOOKUP(B349,Jul!B:AZ,6,FALSE)="",VLOOKUP(B349,Jul!B:AZ,22,FALSE)&lt;0),"Absetzen von","")</f>
        <v/>
      </c>
      <c r="K349" s="263"/>
      <c r="M349" s="316" t="str">
        <f ca="1">IF(VLOOKUP(B349,Jul!B:AZ,22,FALSE)&lt;&gt;0,VLOOKUP(B349,Jul!B:AZ,22,FALSE),"")</f>
        <v/>
      </c>
      <c r="N349" s="327"/>
    </row>
    <row r="350" spans="2:14" x14ac:dyDescent="0.25">
      <c r="B350" s="245">
        <f>Jul!F32</f>
        <v>42209</v>
      </c>
      <c r="C350" s="35">
        <f t="shared" si="4"/>
        <v>42209</v>
      </c>
      <c r="D350" s="17" t="str">
        <f>IF(AND(VLOOKUP(B350,Jul!B:AZ,8,FALSE)&gt;0,VLOOKUP(B350,Jul!B:AZ,6,FALSE)=""), CONCATENATE(TEXT(VLOOKUP(B350,Jul!B:AZ,7,FALSE),"hh:mm"), "-", TEXT(VLOOKUP(B350,Jul!B:AZ,8,FALSE),"[hh]:mm")," Uhr ", IF(VLOOKUP(B350,Jul!B:AZ,12,FALSE)&gt;0, CONCATENATE("und ",TEXT(VLOOKUP(B350,Jul!B:AZ,12,FALSE),"hh:mm"), "-", TEXT(VLOOKUP(B350,Jul!B:AZ,13,FALSE),"[hh]:mm")," Uhr "),"")), IF(VLOOKUP(B350,Jul!B:AZ,6,FALSE)="","",VLOOKUP(VLOOKUP(B350,Jul!B:AZ,6,FALSE),Legende_Code,2,FALSE)))</f>
        <v/>
      </c>
      <c r="E350" s="16" t="str">
        <f>IF(AND(VLOOKUP(B350,Jul!B:AZ,6,FALSE)="", WEEKDAY(B350,2)=6,VLOOKUP(B350,Jul!B:AZ,48,FALSE)&gt;0),VLOOKUP(B350,Jul!B:AZ,48,FALSE)*24,"")</f>
        <v/>
      </c>
      <c r="F350" s="16" t="str">
        <f>IF(AND(VLOOKUP(B350,Jul!B:AZ,6,FALSE)="", WEEKDAY(B350,2)=7,VLOOKUP(B350,Jul!B:AZ,49,FALSE)&gt;0),VLOOKUP(B350,Jul!B:AZ,49,FALSE)*24,"")</f>
        <v/>
      </c>
      <c r="G350" s="16" t="str">
        <f>IF(AND(VLOOKUP(B350,Jul!B:AZ,6,FALSE)="",VLOOKUP(B350,Jul!B:AZ,46,FALSE)&gt;0),VLOOKUP(B350,Jul!B:AZ,46,FALSE)*24,"")</f>
        <v/>
      </c>
      <c r="H350" s="36" t="str">
        <f>IF(AND(VLOOKUP(B350,Jul!B:AZ,6,FALSE)="",VLOOKUP(B350,Jul!B:AZ,50,FALSE)&gt;0),VLOOKUP(B350,Jul!B:AZ,50,FALSE)*24,"")</f>
        <v/>
      </c>
      <c r="I350" s="30" t="str">
        <f>IF(AND(NETWORKDAYS(B350,B350,Feiertage)=1,VLOOKUP(B350,Jul!B:AZ,6,FALSE)="U"),"Urlaub","")</f>
        <v/>
      </c>
      <c r="J350" s="34" t="str">
        <f ca="1">IF(AND(VLOOKUP(B350,Jul!B:AZ,6,FALSE)="",VLOOKUP(B350,Jul!B:AZ,22,FALSE)&lt;0),"Absetzen von","")</f>
        <v/>
      </c>
      <c r="K350" s="263"/>
      <c r="M350" s="316" t="str">
        <f ca="1">IF(VLOOKUP(B350,Jul!B:AZ,22,FALSE)&lt;&gt;0,VLOOKUP(B350,Jul!B:AZ,22,FALSE),"")</f>
        <v/>
      </c>
      <c r="N350" s="327"/>
    </row>
    <row r="351" spans="2:14" x14ac:dyDescent="0.25">
      <c r="B351" s="245">
        <f>Jul!F33</f>
        <v>42210</v>
      </c>
      <c r="C351" s="35">
        <f t="shared" si="4"/>
        <v>42210</v>
      </c>
      <c r="D351" s="17" t="str">
        <f>IF(AND(VLOOKUP(B351,Jul!B:AZ,8,FALSE)&gt;0,VLOOKUP(B351,Jul!B:AZ,6,FALSE)=""), CONCATENATE(TEXT(VLOOKUP(B351,Jul!B:AZ,7,FALSE),"hh:mm"), "-", TEXT(VLOOKUP(B351,Jul!B:AZ,8,FALSE),"[hh]:mm")," Uhr ", IF(VLOOKUP(B351,Jul!B:AZ,12,FALSE)&gt;0, CONCATENATE("und ",TEXT(VLOOKUP(B351,Jul!B:AZ,12,FALSE),"hh:mm"), "-", TEXT(VLOOKUP(B351,Jul!B:AZ,13,FALSE),"[hh]:mm")," Uhr "),"")), IF(VLOOKUP(B351,Jul!B:AZ,6,FALSE)="","",VLOOKUP(VLOOKUP(B351,Jul!B:AZ,6,FALSE),Legende_Code,2,FALSE)))</f>
        <v/>
      </c>
      <c r="E351" s="16" t="str">
        <f>IF(AND(VLOOKUP(B351,Jul!B:AZ,6,FALSE)="", WEEKDAY(B351,2)=6,VLOOKUP(B351,Jul!B:AZ,48,FALSE)&gt;0),VLOOKUP(B351,Jul!B:AZ,48,FALSE)*24,"")</f>
        <v/>
      </c>
      <c r="F351" s="16" t="str">
        <f>IF(AND(VLOOKUP(B351,Jul!B:AZ,6,FALSE)="", WEEKDAY(B351,2)=7,VLOOKUP(B351,Jul!B:AZ,49,FALSE)&gt;0),VLOOKUP(B351,Jul!B:AZ,49,FALSE)*24,"")</f>
        <v/>
      </c>
      <c r="G351" s="16" t="str">
        <f>IF(AND(VLOOKUP(B351,Jul!B:AZ,6,FALSE)="",VLOOKUP(B351,Jul!B:AZ,46,FALSE)&gt;0),VLOOKUP(B351,Jul!B:AZ,46,FALSE)*24,"")</f>
        <v/>
      </c>
      <c r="H351" s="36" t="str">
        <f>IF(AND(VLOOKUP(B351,Jul!B:AZ,6,FALSE)="",VLOOKUP(B351,Jul!B:AZ,50,FALSE)&gt;0),VLOOKUP(B351,Jul!B:AZ,50,FALSE)*24,"")</f>
        <v/>
      </c>
      <c r="I351" s="30" t="str">
        <f>IF(AND(NETWORKDAYS(B351,B351,Feiertage)=1,VLOOKUP(B351,Jul!B:AZ,6,FALSE)="U"),"Urlaub","")</f>
        <v/>
      </c>
      <c r="J351" s="34" t="str">
        <f ca="1">IF(AND(VLOOKUP(B351,Jul!B:AZ,6,FALSE)="",VLOOKUP(B351,Jul!B:AZ,22,FALSE)&lt;0),"Absetzen von","")</f>
        <v/>
      </c>
      <c r="K351" s="263"/>
      <c r="M351" s="316" t="str">
        <f ca="1">IF(VLOOKUP(B351,Jul!B:AZ,22,FALSE)&lt;&gt;0,VLOOKUP(B351,Jul!B:AZ,22,FALSE),"")</f>
        <v/>
      </c>
      <c r="N351" s="327"/>
    </row>
    <row r="352" spans="2:14" x14ac:dyDescent="0.25">
      <c r="B352" s="245">
        <f>Jul!F34</f>
        <v>42211</v>
      </c>
      <c r="C352" s="35">
        <f t="shared" si="4"/>
        <v>42211</v>
      </c>
      <c r="D352" s="17" t="str">
        <f>IF(AND(VLOOKUP(B352,Jul!B:AZ,8,FALSE)&gt;0,VLOOKUP(B352,Jul!B:AZ,6,FALSE)=""), CONCATENATE(TEXT(VLOOKUP(B352,Jul!B:AZ,7,FALSE),"hh:mm"), "-", TEXT(VLOOKUP(B352,Jul!B:AZ,8,FALSE),"[hh]:mm")," Uhr ", IF(VLOOKUP(B352,Jul!B:AZ,12,FALSE)&gt;0, CONCATENATE("und ",TEXT(VLOOKUP(B352,Jul!B:AZ,12,FALSE),"hh:mm"), "-", TEXT(VLOOKUP(B352,Jul!B:AZ,13,FALSE),"[hh]:mm")," Uhr "),"")), IF(VLOOKUP(B352,Jul!B:AZ,6,FALSE)="","",VLOOKUP(VLOOKUP(B352,Jul!B:AZ,6,FALSE),Legende_Code,2,FALSE)))</f>
        <v/>
      </c>
      <c r="E352" s="16" t="str">
        <f>IF(AND(VLOOKUP(B352,Jul!B:AZ,6,FALSE)="", WEEKDAY(B352,2)=6,VLOOKUP(B352,Jul!B:AZ,48,FALSE)&gt;0),VLOOKUP(B352,Jul!B:AZ,48,FALSE)*24,"")</f>
        <v/>
      </c>
      <c r="F352" s="16" t="str">
        <f>IF(AND(VLOOKUP(B352,Jul!B:AZ,6,FALSE)="", WEEKDAY(B352,2)=7,VLOOKUP(B352,Jul!B:AZ,49,FALSE)&gt;0),VLOOKUP(B352,Jul!B:AZ,49,FALSE)*24,"")</f>
        <v/>
      </c>
      <c r="G352" s="16" t="str">
        <f>IF(AND(VLOOKUP(B352,Jul!B:AZ,6,FALSE)="",VLOOKUP(B352,Jul!B:AZ,46,FALSE)&gt;0),VLOOKUP(B352,Jul!B:AZ,46,FALSE)*24,"")</f>
        <v/>
      </c>
      <c r="H352" s="36" t="str">
        <f>IF(AND(VLOOKUP(B352,Jul!B:AZ,6,FALSE)="",VLOOKUP(B352,Jul!B:AZ,50,FALSE)&gt;0),VLOOKUP(B352,Jul!B:AZ,50,FALSE)*24,"")</f>
        <v/>
      </c>
      <c r="I352" s="30" t="str">
        <f>IF(AND(NETWORKDAYS(B352,B352,Feiertage)=1,VLOOKUP(B352,Jul!B:AZ,6,FALSE)="U"),"Urlaub","")</f>
        <v/>
      </c>
      <c r="J352" s="34" t="str">
        <f ca="1">IF(AND(VLOOKUP(B352,Jul!B:AZ,6,FALSE)="",VLOOKUP(B352,Jul!B:AZ,22,FALSE)&lt;0),"Absetzen von","")</f>
        <v/>
      </c>
      <c r="K352" s="263"/>
      <c r="M352" s="316" t="str">
        <f ca="1">IF(VLOOKUP(B352,Jul!B:AZ,22,FALSE)&lt;&gt;0,VLOOKUP(B352,Jul!B:AZ,22,FALSE),"")</f>
        <v/>
      </c>
      <c r="N352" s="327"/>
    </row>
    <row r="353" spans="1:14" x14ac:dyDescent="0.25">
      <c r="B353" s="245">
        <f>Jul!F35</f>
        <v>42212</v>
      </c>
      <c r="C353" s="35">
        <f t="shared" si="4"/>
        <v>42212</v>
      </c>
      <c r="D353" s="17" t="str">
        <f>IF(AND(VLOOKUP(B353,Jul!B:AZ,8,FALSE)&gt;0,VLOOKUP(B353,Jul!B:AZ,6,FALSE)=""), CONCATENATE(TEXT(VLOOKUP(B353,Jul!B:AZ,7,FALSE),"hh:mm"), "-", TEXT(VLOOKUP(B353,Jul!B:AZ,8,FALSE),"[hh]:mm")," Uhr ", IF(VLOOKUP(B353,Jul!B:AZ,12,FALSE)&gt;0, CONCATENATE("und ",TEXT(VLOOKUP(B353,Jul!B:AZ,12,FALSE),"hh:mm"), "-", TEXT(VLOOKUP(B353,Jul!B:AZ,13,FALSE),"[hh]:mm")," Uhr "),"")), IF(VLOOKUP(B353,Jul!B:AZ,6,FALSE)="","",VLOOKUP(VLOOKUP(B353,Jul!B:AZ,6,FALSE),Legende_Code,2,FALSE)))</f>
        <v/>
      </c>
      <c r="E353" s="16" t="str">
        <f>IF(AND(VLOOKUP(B353,Jul!B:AZ,6,FALSE)="", WEEKDAY(B353,2)=6,VLOOKUP(B353,Jul!B:AZ,48,FALSE)&gt;0),VLOOKUP(B353,Jul!B:AZ,48,FALSE)*24,"")</f>
        <v/>
      </c>
      <c r="F353" s="16" t="str">
        <f>IF(AND(VLOOKUP(B353,Jul!B:AZ,6,FALSE)="", WEEKDAY(B353,2)=7,VLOOKUP(B353,Jul!B:AZ,49,FALSE)&gt;0),VLOOKUP(B353,Jul!B:AZ,49,FALSE)*24,"")</f>
        <v/>
      </c>
      <c r="G353" s="16" t="str">
        <f>IF(AND(VLOOKUP(B353,Jul!B:AZ,6,FALSE)="",VLOOKUP(B353,Jul!B:AZ,46,FALSE)&gt;0),VLOOKUP(B353,Jul!B:AZ,46,FALSE)*24,"")</f>
        <v/>
      </c>
      <c r="H353" s="36" t="str">
        <f>IF(AND(VLOOKUP(B353,Jul!B:AZ,6,FALSE)="",VLOOKUP(B353,Jul!B:AZ,50,FALSE)&gt;0),VLOOKUP(B353,Jul!B:AZ,50,FALSE)*24,"")</f>
        <v/>
      </c>
      <c r="I353" s="30" t="str">
        <f>IF(AND(NETWORKDAYS(B353,B353,Feiertage)=1,VLOOKUP(B353,Jul!B:AZ,6,FALSE)="U"),"Urlaub","")</f>
        <v/>
      </c>
      <c r="J353" s="34" t="str">
        <f ca="1">IF(AND(VLOOKUP(B353,Jul!B:AZ,6,FALSE)="",VLOOKUP(B353,Jul!B:AZ,22,FALSE)&lt;0),"Absetzen von","")</f>
        <v/>
      </c>
      <c r="K353" s="263"/>
      <c r="M353" s="316" t="str">
        <f ca="1">IF(VLOOKUP(B353,Jul!B:AZ,22,FALSE)&lt;&gt;0,VLOOKUP(B353,Jul!B:AZ,22,FALSE),"")</f>
        <v/>
      </c>
      <c r="N353" s="327"/>
    </row>
    <row r="354" spans="1:14" x14ac:dyDescent="0.25">
      <c r="B354" s="245">
        <f>Jul!F36</f>
        <v>42213</v>
      </c>
      <c r="C354" s="35">
        <f t="shared" si="4"/>
        <v>42213</v>
      </c>
      <c r="D354" s="17" t="str">
        <f>IF(AND(VLOOKUP(B354,Jul!B:AZ,8,FALSE)&gt;0,VLOOKUP(B354,Jul!B:AZ,6,FALSE)=""), CONCATENATE(TEXT(VLOOKUP(B354,Jul!B:AZ,7,FALSE),"hh:mm"), "-", TEXT(VLOOKUP(B354,Jul!B:AZ,8,FALSE),"[hh]:mm")," Uhr ", IF(VLOOKUP(B354,Jul!B:AZ,12,FALSE)&gt;0, CONCATENATE("und ",TEXT(VLOOKUP(B354,Jul!B:AZ,12,FALSE),"hh:mm"), "-", TEXT(VLOOKUP(B354,Jul!B:AZ,13,FALSE),"[hh]:mm")," Uhr "),"")), IF(VLOOKUP(B354,Jul!B:AZ,6,FALSE)="","",VLOOKUP(VLOOKUP(B354,Jul!B:AZ,6,FALSE),Legende_Code,2,FALSE)))</f>
        <v/>
      </c>
      <c r="E354" s="16" t="str">
        <f>IF(AND(VLOOKUP(B354,Jul!B:AZ,6,FALSE)="", WEEKDAY(B354,2)=6,VLOOKUP(B354,Jul!B:AZ,48,FALSE)&gt;0),VLOOKUP(B354,Jul!B:AZ,48,FALSE)*24,"")</f>
        <v/>
      </c>
      <c r="F354" s="16" t="str">
        <f>IF(AND(VLOOKUP(B354,Jul!B:AZ,6,FALSE)="", WEEKDAY(B354,2)=7,VLOOKUP(B354,Jul!B:AZ,49,FALSE)&gt;0),VLOOKUP(B354,Jul!B:AZ,49,FALSE)*24,"")</f>
        <v/>
      </c>
      <c r="G354" s="16" t="str">
        <f>IF(AND(VLOOKUP(B354,Jul!B:AZ,6,FALSE)="",VLOOKUP(B354,Jul!B:AZ,46,FALSE)&gt;0),VLOOKUP(B354,Jul!B:AZ,46,FALSE)*24,"")</f>
        <v/>
      </c>
      <c r="H354" s="36" t="str">
        <f>IF(AND(VLOOKUP(B354,Jul!B:AZ,6,FALSE)="",VLOOKUP(B354,Jul!B:AZ,50,FALSE)&gt;0),VLOOKUP(B354,Jul!B:AZ,50,FALSE)*24,"")</f>
        <v/>
      </c>
      <c r="I354" s="30" t="str">
        <f>IF(AND(NETWORKDAYS(B354,B354,Feiertage)=1,VLOOKUP(B354,Jul!B:AZ,6,FALSE)="U"),"Urlaub","")</f>
        <v/>
      </c>
      <c r="J354" s="34" t="str">
        <f ca="1">IF(AND(VLOOKUP(B354,Jul!B:AZ,6,FALSE)="",VLOOKUP(B354,Jul!B:AZ,22,FALSE)&lt;0),"Absetzen von","")</f>
        <v/>
      </c>
      <c r="K354" s="263"/>
      <c r="M354" s="316" t="str">
        <f ca="1">IF(VLOOKUP(B354,Jul!B:AZ,22,FALSE)&lt;&gt;0,VLOOKUP(B354,Jul!B:AZ,22,FALSE),"")</f>
        <v/>
      </c>
      <c r="N354" s="327"/>
    </row>
    <row r="355" spans="1:14" x14ac:dyDescent="0.25">
      <c r="B355" s="245">
        <f>Jul!F37</f>
        <v>42214</v>
      </c>
      <c r="C355" s="35">
        <f t="shared" si="4"/>
        <v>42214</v>
      </c>
      <c r="D355" s="17" t="str">
        <f>IF(AND(VLOOKUP(B355,Jul!B:AZ,8,FALSE)&gt;0,VLOOKUP(B355,Jul!B:AZ,6,FALSE)=""), CONCATENATE(TEXT(VLOOKUP(B355,Jul!B:AZ,7,FALSE),"hh:mm"), "-", TEXT(VLOOKUP(B355,Jul!B:AZ,8,FALSE),"[hh]:mm")," Uhr ", IF(VLOOKUP(B355,Jul!B:AZ,12,FALSE)&gt;0, CONCATENATE("und ",TEXT(VLOOKUP(B355,Jul!B:AZ,12,FALSE),"hh:mm"), "-", TEXT(VLOOKUP(B355,Jul!B:AZ,13,FALSE),"[hh]:mm")," Uhr "),"")), IF(VLOOKUP(B355,Jul!B:AZ,6,FALSE)="","",VLOOKUP(VLOOKUP(B355,Jul!B:AZ,6,FALSE),Legende_Code,2,FALSE)))</f>
        <v/>
      </c>
      <c r="E355" s="16" t="str">
        <f>IF(AND(VLOOKUP(B355,Jul!B:AZ,6,FALSE)="", WEEKDAY(B355,2)=6,VLOOKUP(B355,Jul!B:AZ,48,FALSE)&gt;0),VLOOKUP(B355,Jul!B:AZ,48,FALSE)*24,"")</f>
        <v/>
      </c>
      <c r="F355" s="16" t="str">
        <f>IF(AND(VLOOKUP(B355,Jul!B:AZ,6,FALSE)="", WEEKDAY(B355,2)=7,VLOOKUP(B355,Jul!B:AZ,49,FALSE)&gt;0),VLOOKUP(B355,Jul!B:AZ,49,FALSE)*24,"")</f>
        <v/>
      </c>
      <c r="G355" s="16" t="str">
        <f>IF(AND(VLOOKUP(B355,Jul!B:AZ,6,FALSE)="",VLOOKUP(B355,Jul!B:AZ,46,FALSE)&gt;0),VLOOKUP(B355,Jul!B:AZ,46,FALSE)*24,"")</f>
        <v/>
      </c>
      <c r="H355" s="36" t="str">
        <f>IF(AND(VLOOKUP(B355,Jul!B:AZ,6,FALSE)="",VLOOKUP(B355,Jul!B:AZ,50,FALSE)&gt;0),VLOOKUP(B355,Jul!B:AZ,50,FALSE)*24,"")</f>
        <v/>
      </c>
      <c r="I355" s="30" t="str">
        <f>IF(AND(NETWORKDAYS(B355,B355,Feiertage)=1,VLOOKUP(B355,Jul!B:AZ,6,FALSE)="U"),"Urlaub","")</f>
        <v/>
      </c>
      <c r="J355" s="34" t="str">
        <f ca="1">IF(AND(VLOOKUP(B355,Jul!B:AZ,6,FALSE)="",VLOOKUP(B355,Jul!B:AZ,22,FALSE)&lt;0),"Absetzen von","")</f>
        <v/>
      </c>
      <c r="K355" s="263"/>
      <c r="M355" s="316" t="str">
        <f ca="1">IF(VLOOKUP(B355,Jul!B:AZ,22,FALSE)&lt;&gt;0,VLOOKUP(B355,Jul!B:AZ,22,FALSE),"")</f>
        <v/>
      </c>
      <c r="N355" s="327"/>
    </row>
    <row r="356" spans="1:14" ht="15.75" thickBot="1" x14ac:dyDescent="0.3">
      <c r="B356" s="245">
        <f>Jul!F38</f>
        <v>42215</v>
      </c>
      <c r="C356" s="35">
        <f t="shared" si="4"/>
        <v>42215</v>
      </c>
      <c r="D356" s="17" t="str">
        <f>IF(AND(VLOOKUP(B356,Jul!B:AZ,8,FALSE)&gt;0,VLOOKUP(B356,Jul!B:AZ,6,FALSE)=""), CONCATENATE(TEXT(VLOOKUP(B356,Jul!B:AZ,7,FALSE),"hh:mm"), "-", TEXT(VLOOKUP(B356,Jul!B:AZ,8,FALSE),"[hh]:mm")," Uhr ", IF(VLOOKUP(B356,Jul!B:AZ,12,FALSE)&gt;0, CONCATENATE("und ",TEXT(VLOOKUP(B356,Jul!B:AZ,12,FALSE),"hh:mm"), "-", TEXT(VLOOKUP(B356,Jul!B:AZ,13,FALSE),"[hh]:mm")," Uhr "),"")), IF(VLOOKUP(B356,Jul!B:AZ,6,FALSE)="","",VLOOKUP(VLOOKUP(B356,Jul!B:AZ,6,FALSE),Legende_Code,2,FALSE)))</f>
        <v/>
      </c>
      <c r="E356" s="16" t="str">
        <f>IF(AND(VLOOKUP(B356,Jul!B:AZ,6,FALSE)="", WEEKDAY(B356,2)=6,VLOOKUP(B356,Jul!B:AZ,48,FALSE)&gt;0),VLOOKUP(B356,Jul!B:AZ,48,FALSE)*24,"")</f>
        <v/>
      </c>
      <c r="F356" s="16" t="str">
        <f>IF(AND(VLOOKUP(B356,Jul!B:AZ,6,FALSE)="", WEEKDAY(B356,2)=7,VLOOKUP(B356,Jul!B:AZ,49,FALSE)&gt;0),VLOOKUP(B356,Jul!B:AZ,49,FALSE)*24,"")</f>
        <v/>
      </c>
      <c r="G356" s="16" t="str">
        <f>IF(AND(VLOOKUP(B356,Jul!B:AZ,6,FALSE)="",VLOOKUP(B356,Jul!B:AZ,46,FALSE)&gt;0),VLOOKUP(B356,Jul!B:AZ,46,FALSE)*24,"")</f>
        <v/>
      </c>
      <c r="H356" s="36" t="str">
        <f>IF(AND(VLOOKUP(B356,Jul!B:AZ,6,FALSE)="",VLOOKUP(B356,Jul!B:AZ,50,FALSE)&gt;0),VLOOKUP(B356,Jul!B:AZ,50,FALSE)*24,"")</f>
        <v/>
      </c>
      <c r="I356" s="30" t="str">
        <f>IF(AND(NETWORKDAYS(B356,B356,Feiertage)=1,VLOOKUP(B356,Jul!B:AZ,6,FALSE)="U"),"Urlaub","")</f>
        <v/>
      </c>
      <c r="J356" s="34" t="str">
        <f ca="1">IF(AND(VLOOKUP(B356,Jul!B:AZ,6,FALSE)="",VLOOKUP(B356,Jul!B:AZ,22,FALSE)&lt;0),"Absetzen von","")</f>
        <v/>
      </c>
      <c r="K356" s="263"/>
      <c r="M356" s="316" t="str">
        <f ca="1">IF(VLOOKUP(B356,Jul!B:AZ,22,FALSE)&lt;&gt;0,VLOOKUP(B356,Jul!B:AZ,22,FALSE),"")</f>
        <v/>
      </c>
      <c r="N356" s="327"/>
    </row>
    <row r="357" spans="1:14" ht="15.75" thickBot="1" x14ac:dyDescent="0.3">
      <c r="B357" s="186"/>
      <c r="C357" s="37"/>
      <c r="D357" s="38" t="s">
        <v>198</v>
      </c>
      <c r="E357" s="39" t="str">
        <f>IF(SUM(E326:E356)=0," ",SUM(E326:E356))</f>
        <v xml:space="preserve"> </v>
      </c>
      <c r="F357" s="39" t="str">
        <f>IF(SUM(F326:F356)=0," ",SUM(F326:F356))</f>
        <v xml:space="preserve"> </v>
      </c>
      <c r="G357" s="39" t="str">
        <f>IF(SUM(G326:G356)=0," ",SUM(G326:G356))</f>
        <v xml:space="preserve"> </v>
      </c>
      <c r="H357" s="40" t="str">
        <f>IF(SUM(H326:H356)=0," ",SUM(H326:H356))</f>
        <v xml:space="preserve"> </v>
      </c>
      <c r="I357" s="30"/>
      <c r="J357" s="185"/>
      <c r="K357" s="266"/>
      <c r="N357" s="327"/>
    </row>
    <row r="358" spans="1:14" x14ac:dyDescent="0.25">
      <c r="B358" s="44" t="s">
        <v>199</v>
      </c>
      <c r="C358" s="20"/>
      <c r="D358" s="41"/>
      <c r="E358" s="20"/>
      <c r="F358" s="20"/>
      <c r="G358" s="20" t="s">
        <v>200</v>
      </c>
      <c r="H358" s="20"/>
      <c r="I358" s="20"/>
      <c r="J358" s="20"/>
      <c r="K358" s="267"/>
      <c r="N358" s="327"/>
    </row>
    <row r="359" spans="1:14" x14ac:dyDescent="0.25">
      <c r="B359" s="44"/>
      <c r="C359" s="20"/>
      <c r="D359" s="41"/>
      <c r="E359" s="20"/>
      <c r="F359" s="20"/>
      <c r="G359" s="20"/>
      <c r="H359" s="20"/>
      <c r="I359" s="20"/>
      <c r="J359" s="20"/>
      <c r="K359" s="267"/>
      <c r="N359" s="327"/>
    </row>
    <row r="360" spans="1:14" x14ac:dyDescent="0.25">
      <c r="B360" s="44"/>
      <c r="C360" s="20"/>
      <c r="D360" s="41"/>
      <c r="E360" s="20"/>
      <c r="F360" s="20"/>
      <c r="G360" s="20"/>
      <c r="H360" s="20"/>
      <c r="I360" s="20"/>
      <c r="J360" s="20"/>
      <c r="K360" s="267"/>
      <c r="N360" s="327"/>
    </row>
    <row r="361" spans="1:14" x14ac:dyDescent="0.25">
      <c r="B361" s="44" t="s">
        <v>201</v>
      </c>
      <c r="C361" s="20"/>
      <c r="D361" s="41"/>
      <c r="E361" s="20"/>
      <c r="F361" s="20"/>
      <c r="G361" s="20" t="s">
        <v>202</v>
      </c>
      <c r="H361" s="20"/>
      <c r="I361" s="20"/>
      <c r="J361" s="20"/>
      <c r="K361" s="267"/>
      <c r="N361" s="327"/>
    </row>
    <row r="362" spans="1:14" x14ac:dyDescent="0.25">
      <c r="B362" s="253"/>
      <c r="C362" s="42"/>
      <c r="D362" s="18"/>
      <c r="E362" s="19"/>
      <c r="F362" s="19"/>
      <c r="G362" s="19"/>
      <c r="H362" s="43"/>
      <c r="I362" s="20"/>
      <c r="J362" s="44"/>
      <c r="K362" s="268"/>
      <c r="N362" s="327"/>
    </row>
    <row r="363" spans="1:14" x14ac:dyDescent="0.25">
      <c r="B363" s="253"/>
      <c r="C363" s="42"/>
      <c r="D363" s="18"/>
      <c r="E363" s="19"/>
      <c r="F363" s="19"/>
      <c r="G363" s="19"/>
      <c r="H363" s="43"/>
      <c r="I363" s="20"/>
      <c r="J363" s="44"/>
      <c r="K363" s="268"/>
      <c r="N363" s="327"/>
    </row>
    <row r="364" spans="1:14" x14ac:dyDescent="0.25">
      <c r="B364" s="253"/>
      <c r="C364" s="42"/>
      <c r="D364" s="18"/>
      <c r="E364" s="19"/>
      <c r="F364" s="19"/>
      <c r="G364" s="19"/>
      <c r="H364" s="43"/>
      <c r="I364" s="20"/>
      <c r="J364" s="44"/>
      <c r="K364" s="268"/>
      <c r="N364" s="327"/>
    </row>
    <row r="365" spans="1:14" x14ac:dyDescent="0.25">
      <c r="B365" s="253"/>
      <c r="C365" s="42"/>
      <c r="D365" s="18"/>
      <c r="E365" s="19"/>
      <c r="F365" s="19"/>
      <c r="G365" s="19"/>
      <c r="H365" s="43"/>
      <c r="I365" s="20"/>
      <c r="J365" s="44"/>
      <c r="K365" s="268"/>
      <c r="N365" s="327"/>
    </row>
    <row r="366" spans="1:14" s="45" customFormat="1" ht="18" x14ac:dyDescent="0.25">
      <c r="B366" s="252"/>
      <c r="C366" s="539" t="s">
        <v>186</v>
      </c>
      <c r="D366" s="539"/>
      <c r="E366" s="539"/>
      <c r="F366" s="539"/>
      <c r="G366" s="21"/>
      <c r="H366" s="21"/>
      <c r="I366" s="21"/>
      <c r="J366" s="21"/>
      <c r="K366" s="259"/>
      <c r="M366" s="317"/>
      <c r="N366" s="328"/>
    </row>
    <row r="367" spans="1:14" s="45" customFormat="1" ht="16.5" x14ac:dyDescent="0.25">
      <c r="B367" s="252" t="s">
        <v>82</v>
      </c>
      <c r="C367" s="21"/>
      <c r="D367" s="22"/>
      <c r="E367" s="21"/>
      <c r="F367" s="21"/>
      <c r="G367" s="21"/>
      <c r="H367" s="21"/>
      <c r="I367" s="23" t="str">
        <f>Struktureinheit</f>
        <v>Struktureinheit</v>
      </c>
      <c r="J367" s="24"/>
      <c r="K367" s="260"/>
      <c r="M367" s="317" t="s">
        <v>187</v>
      </c>
      <c r="N367" s="256"/>
    </row>
    <row r="368" spans="1:14" ht="16.5" x14ac:dyDescent="0.25">
      <c r="A368" s="29"/>
      <c r="B368" s="545" t="s">
        <v>1</v>
      </c>
      <c r="C368" s="545"/>
      <c r="D368" s="20" t="str">
        <f>Name</f>
        <v>Max Mustermann</v>
      </c>
      <c r="E368" s="25"/>
      <c r="F368" s="25"/>
      <c r="G368" s="25"/>
      <c r="H368" s="26"/>
      <c r="I368" s="27"/>
      <c r="J368" s="27"/>
      <c r="K368" s="260"/>
      <c r="M368" s="317" t="s">
        <v>188</v>
      </c>
      <c r="N368" s="257"/>
    </row>
    <row r="369" spans="1:14" ht="9.75" customHeight="1" x14ac:dyDescent="0.25">
      <c r="A369" s="29"/>
      <c r="C369" s="26"/>
      <c r="D369" s="28"/>
      <c r="E369" s="26"/>
      <c r="F369" s="26"/>
      <c r="G369" s="26"/>
      <c r="H369" s="26"/>
      <c r="I369" s="26"/>
      <c r="J369" s="26"/>
      <c r="K369" s="259"/>
      <c r="N369" s="327"/>
    </row>
    <row r="370" spans="1:14" x14ac:dyDescent="0.25">
      <c r="A370" s="29"/>
      <c r="B370" s="545" t="s">
        <v>189</v>
      </c>
      <c r="C370" s="545"/>
      <c r="D370" s="26">
        <f>Personalnummer</f>
        <v>123456789</v>
      </c>
      <c r="G370" s="26"/>
      <c r="H370" s="184" t="s">
        <v>190</v>
      </c>
      <c r="I370" s="540">
        <f>Geburtstag</f>
        <v>16833</v>
      </c>
      <c r="J370" s="540"/>
      <c r="K370" s="261"/>
      <c r="N370" s="327"/>
    </row>
    <row r="371" spans="1:14" x14ac:dyDescent="0.25">
      <c r="A371" s="29"/>
      <c r="C371" s="26"/>
      <c r="D371" s="28"/>
      <c r="E371" s="26"/>
      <c r="F371" s="26"/>
      <c r="G371" s="26"/>
      <c r="H371" s="26"/>
      <c r="I371" s="26"/>
      <c r="J371" s="26"/>
      <c r="K371" s="259"/>
      <c r="N371" s="327"/>
    </row>
    <row r="372" spans="1:14" x14ac:dyDescent="0.25">
      <c r="A372" s="29"/>
      <c r="B372" s="541" t="s">
        <v>191</v>
      </c>
      <c r="C372" s="541"/>
      <c r="D372" s="542">
        <f>B378</f>
        <v>42216</v>
      </c>
      <c r="E372" s="542"/>
      <c r="F372" s="542"/>
      <c r="G372" s="542"/>
      <c r="H372" s="542"/>
      <c r="I372" s="186"/>
      <c r="J372" s="543"/>
      <c r="K372" s="544"/>
      <c r="N372" s="327"/>
    </row>
    <row r="373" spans="1:14" ht="15" customHeight="1" x14ac:dyDescent="0.25">
      <c r="B373" s="557"/>
      <c r="C373" s="557"/>
      <c r="D373" s="558" t="s">
        <v>192</v>
      </c>
      <c r="E373" s="546" t="s">
        <v>38</v>
      </c>
      <c r="F373" s="546" t="s">
        <v>39</v>
      </c>
      <c r="G373" s="546" t="s">
        <v>105</v>
      </c>
      <c r="H373" s="548" t="s">
        <v>81</v>
      </c>
      <c r="I373" s="30" t="s">
        <v>193</v>
      </c>
      <c r="J373" s="550" t="s">
        <v>63</v>
      </c>
      <c r="K373" s="551"/>
      <c r="N373" s="327"/>
    </row>
    <row r="374" spans="1:14" x14ac:dyDescent="0.25">
      <c r="B374" s="557"/>
      <c r="C374" s="557"/>
      <c r="D374" s="558"/>
      <c r="E374" s="547"/>
      <c r="F374" s="547"/>
      <c r="G374" s="547"/>
      <c r="H374" s="549"/>
      <c r="I374" s="552"/>
      <c r="J374" s="550"/>
      <c r="K374" s="551"/>
      <c r="N374" s="327"/>
    </row>
    <row r="375" spans="1:14" x14ac:dyDescent="0.25">
      <c r="B375" s="557"/>
      <c r="C375" s="186"/>
      <c r="D375" s="31" t="s">
        <v>194</v>
      </c>
      <c r="E375" s="186" t="s">
        <v>195</v>
      </c>
      <c r="F375" s="186"/>
      <c r="G375" s="186" t="s">
        <v>196</v>
      </c>
      <c r="H375" s="32"/>
      <c r="I375" s="544"/>
      <c r="J375" s="543"/>
      <c r="K375" s="554"/>
      <c r="N375" s="327"/>
    </row>
    <row r="376" spans="1:14" x14ac:dyDescent="0.25">
      <c r="B376" s="186" t="s">
        <v>80</v>
      </c>
      <c r="C376" s="186" t="s">
        <v>128</v>
      </c>
      <c r="D376" s="31"/>
      <c r="E376" s="186" t="s">
        <v>197</v>
      </c>
      <c r="F376" s="186" t="s">
        <v>197</v>
      </c>
      <c r="G376" s="186" t="s">
        <v>197</v>
      </c>
      <c r="H376" s="32" t="s">
        <v>197</v>
      </c>
      <c r="I376" s="553"/>
      <c r="J376" s="555"/>
      <c r="K376" s="556"/>
      <c r="N376" s="327"/>
    </row>
    <row r="377" spans="1:14" x14ac:dyDescent="0.25">
      <c r="B377" s="186"/>
      <c r="C377" s="186"/>
      <c r="D377" s="33"/>
      <c r="E377" s="16"/>
      <c r="F377" s="186"/>
      <c r="G377" s="186"/>
      <c r="H377" s="32"/>
      <c r="I377" s="30"/>
      <c r="J377" s="34"/>
      <c r="K377" s="269"/>
      <c r="N377" s="327"/>
    </row>
    <row r="378" spans="1:14" x14ac:dyDescent="0.25">
      <c r="B378" s="245">
        <f>Aug!F8</f>
        <v>42216</v>
      </c>
      <c r="C378" s="35">
        <f t="shared" si="4"/>
        <v>42216</v>
      </c>
      <c r="D378" s="17" t="str">
        <f>IF(AND(VLOOKUP(B378,Aug!B:AZ,8,FALSE)&gt;0,VLOOKUP(B378,Aug!B:AZ,6,FALSE)=""), CONCATENATE(TEXT(VLOOKUP(B378,Aug!B:AZ,7,FALSE),"hh:mm"), "-", TEXT(VLOOKUP(B378,Aug!B:AZ,8,FALSE),"[hh]:mm")," Uhr ", IF(VLOOKUP(B378,Aug!B:AZ,12,FALSE)&gt;0, CONCATENATE("und ",TEXT(VLOOKUP(B378,Aug!B:AZ,12,FALSE),"hh:mm"), "-", TEXT(VLOOKUP(B378,Aug!B:AZ,13,FALSE),"[hh]:mm")," Uhr "),"")), IF(VLOOKUP(B378,Aug!B:AZ,6,FALSE)="","",VLOOKUP(VLOOKUP(B378,Aug!B:AZ,6,FALSE),Legende_Code,2,FALSE)))</f>
        <v/>
      </c>
      <c r="E378" s="16" t="str">
        <f>IF(AND(VLOOKUP(B378,Aug!B:AZ,6,FALSE)="", WEEKDAY(B378,2)=6,VLOOKUP(B378,Aug!B:AZ,48,FALSE)&gt;0),VLOOKUP(B378,Aug!B:AZ,48,FALSE)*24,"")</f>
        <v/>
      </c>
      <c r="F378" s="16" t="str">
        <f>IF(AND(VLOOKUP(B378,Aug!B:AZ,6,FALSE)="", WEEKDAY(B378,2)=7,VLOOKUP(B378,Aug!B:AZ,49,FALSE)&gt;0),VLOOKUP(B378,Aug!B:AZ,49,FALSE)*24,"")</f>
        <v/>
      </c>
      <c r="G378" s="16" t="str">
        <f>IF(AND(VLOOKUP(B378,Aug!B:AZ,6,FALSE)="",VLOOKUP(B378,Aug!B:AZ,46,FALSE)&gt;0),VLOOKUP(B378,Aug!B:AZ,46,FALSE)*24,"")</f>
        <v/>
      </c>
      <c r="H378" s="36" t="str">
        <f>IF(AND(VLOOKUP(B378,Aug!B:AZ,6,FALSE)="",VLOOKUP(B378,Aug!B:AZ,50,FALSE)&gt;0),VLOOKUP(B378,Aug!B:AZ,50,FALSE)*24,"")</f>
        <v/>
      </c>
      <c r="I378" s="30" t="str">
        <f>IF(AND(NETWORKDAYS(B378,B378,Feiertage)=1,VLOOKUP(B378,Aug!B:AZ,6,FALSE)="U"),"Urlaub","")</f>
        <v/>
      </c>
      <c r="J378" s="34" t="str">
        <f ca="1">IF(AND(VLOOKUP(B378,Aug!B:AZ,6,FALSE)="",VLOOKUP(B378,Aug!B:AZ,22,FALSE)&lt;0),"Absetzen von","")</f>
        <v/>
      </c>
      <c r="K378" s="263"/>
      <c r="M378" s="316" t="str">
        <f ca="1">IF(VLOOKUP(B378,Aug!B:AZ,22,FALSE)&lt;&gt;0,VLOOKUP(B378,Aug!B:AZ,22,FALSE),"")</f>
        <v/>
      </c>
      <c r="N378" s="327"/>
    </row>
    <row r="379" spans="1:14" x14ac:dyDescent="0.25">
      <c r="B379" s="245">
        <f>Aug!F9</f>
        <v>42217</v>
      </c>
      <c r="C379" s="35">
        <f t="shared" si="4"/>
        <v>42217</v>
      </c>
      <c r="D379" s="17" t="str">
        <f>IF(AND(VLOOKUP(B379,Aug!B:AZ,8,FALSE)&gt;0,VLOOKUP(B379,Aug!B:AZ,6,FALSE)=""), CONCATENATE(TEXT(VLOOKUP(B379,Aug!B:AZ,7,FALSE),"hh:mm"), "-", TEXT(VLOOKUP(B379,Aug!B:AZ,8,FALSE),"[hh]:mm")," Uhr ", IF(VLOOKUP(B379,Aug!B:AZ,12,FALSE)&gt;0, CONCATENATE("und ",TEXT(VLOOKUP(B379,Aug!B:AZ,12,FALSE),"hh:mm"), "-", TEXT(VLOOKUP(B379,Aug!B:AZ,13,FALSE),"[hh]:mm")," Uhr "),"")), IF(VLOOKUP(B379,Aug!B:AZ,6,FALSE)="","",VLOOKUP(VLOOKUP(B379,Aug!B:AZ,6,FALSE),Legende_Code,2,FALSE)))</f>
        <v/>
      </c>
      <c r="E379" s="16" t="str">
        <f>IF(AND(VLOOKUP(B379,Aug!B:AZ,6,FALSE)="", WEEKDAY(B379,2)=6,VLOOKUP(B379,Aug!B:AZ,48,FALSE)&gt;0),VLOOKUP(B379,Aug!B:AZ,48,FALSE)*24,"")</f>
        <v/>
      </c>
      <c r="F379" s="16" t="str">
        <f>IF(AND(VLOOKUP(B379,Aug!B:AZ,6,FALSE)="", WEEKDAY(B379,2)=7,VLOOKUP(B379,Aug!B:AZ,49,FALSE)&gt;0),VLOOKUP(B379,Aug!B:AZ,49,FALSE)*24,"")</f>
        <v/>
      </c>
      <c r="G379" s="16" t="str">
        <f>IF(AND(VLOOKUP(B379,Aug!B:AZ,6,FALSE)="",VLOOKUP(B379,Aug!B:AZ,46,FALSE)&gt;0),VLOOKUP(B379,Aug!B:AZ,46,FALSE)*24,"")</f>
        <v/>
      </c>
      <c r="H379" s="36" t="str">
        <f>IF(AND(VLOOKUP(B379,Aug!B:AZ,6,FALSE)="",VLOOKUP(B379,Aug!B:AZ,50,FALSE)&gt;0),VLOOKUP(B379,Aug!B:AZ,50,FALSE)*24,"")</f>
        <v/>
      </c>
      <c r="I379" s="30" t="str">
        <f>IF(AND(NETWORKDAYS(B379,B379,Feiertage)=1,VLOOKUP(B379,Aug!B:AZ,6,FALSE)="U"),"Urlaub","")</f>
        <v/>
      </c>
      <c r="J379" s="34" t="str">
        <f ca="1">IF(AND(VLOOKUP(B379,Aug!B:AZ,6,FALSE)="",VLOOKUP(B379,Aug!B:AZ,22,FALSE)&lt;0),"Absetzen von","")</f>
        <v/>
      </c>
      <c r="K379" s="263"/>
      <c r="M379" s="316" t="str">
        <f ca="1">IF(VLOOKUP(B379,Aug!B:AZ,22,FALSE)&lt;&gt;0,VLOOKUP(B379,Aug!B:AZ,22,FALSE),"")</f>
        <v/>
      </c>
      <c r="N379" s="327"/>
    </row>
    <row r="380" spans="1:14" x14ac:dyDescent="0.25">
      <c r="B380" s="245">
        <f>Aug!F10</f>
        <v>42218</v>
      </c>
      <c r="C380" s="35">
        <f t="shared" si="4"/>
        <v>42218</v>
      </c>
      <c r="D380" s="17" t="str">
        <f>IF(AND(VLOOKUP(B380,Aug!B:AZ,8,FALSE)&gt;0,VLOOKUP(B380,Aug!B:AZ,6,FALSE)=""), CONCATENATE(TEXT(VLOOKUP(B380,Aug!B:AZ,7,FALSE),"hh:mm"), "-", TEXT(VLOOKUP(B380,Aug!B:AZ,8,FALSE),"[hh]:mm")," Uhr ", IF(VLOOKUP(B380,Aug!B:AZ,12,FALSE)&gt;0, CONCATENATE("und ",TEXT(VLOOKUP(B380,Aug!B:AZ,12,FALSE),"hh:mm"), "-", TEXT(VLOOKUP(B380,Aug!B:AZ,13,FALSE),"[hh]:mm")," Uhr "),"")), IF(VLOOKUP(B380,Aug!B:AZ,6,FALSE)="","",VLOOKUP(VLOOKUP(B380,Aug!B:AZ,6,FALSE),Legende_Code,2,FALSE)))</f>
        <v/>
      </c>
      <c r="E380" s="16" t="str">
        <f>IF(AND(VLOOKUP(B380,Aug!B:AZ,6,FALSE)="", WEEKDAY(B380,2)=6,VLOOKUP(B380,Aug!B:AZ,48,FALSE)&gt;0),VLOOKUP(B380,Aug!B:AZ,48,FALSE)*24,"")</f>
        <v/>
      </c>
      <c r="F380" s="16" t="str">
        <f>IF(AND(VLOOKUP(B380,Aug!B:AZ,6,FALSE)="", WEEKDAY(B380,2)=7,VLOOKUP(B380,Aug!B:AZ,49,FALSE)&gt;0),VLOOKUP(B380,Aug!B:AZ,49,FALSE)*24,"")</f>
        <v/>
      </c>
      <c r="G380" s="16" t="str">
        <f>IF(AND(VLOOKUP(B380,Aug!B:AZ,6,FALSE)="",VLOOKUP(B380,Aug!B:AZ,46,FALSE)&gt;0),VLOOKUP(B380,Aug!B:AZ,46,FALSE)*24,"")</f>
        <v/>
      </c>
      <c r="H380" s="36" t="str">
        <f>IF(AND(VLOOKUP(B380,Aug!B:AZ,6,FALSE)="",VLOOKUP(B380,Aug!B:AZ,50,FALSE)&gt;0),VLOOKUP(B380,Aug!B:AZ,50,FALSE)*24,"")</f>
        <v/>
      </c>
      <c r="I380" s="30" t="str">
        <f>IF(AND(NETWORKDAYS(B380,B380,Feiertage)=1,VLOOKUP(B380,Aug!B:AZ,6,FALSE)="U"),"Urlaub","")</f>
        <v/>
      </c>
      <c r="J380" s="34" t="str">
        <f ca="1">IF(AND(VLOOKUP(B380,Aug!B:AZ,6,FALSE)="",VLOOKUP(B380,Aug!B:AZ,22,FALSE)&lt;0),"Absetzen von","")</f>
        <v/>
      </c>
      <c r="K380" s="263"/>
      <c r="M380" s="316" t="str">
        <f ca="1">IF(VLOOKUP(B380,Aug!B:AZ,22,FALSE)&lt;&gt;0,VLOOKUP(B380,Aug!B:AZ,22,FALSE),"")</f>
        <v/>
      </c>
      <c r="N380" s="327"/>
    </row>
    <row r="381" spans="1:14" x14ac:dyDescent="0.25">
      <c r="B381" s="245">
        <f>Aug!F11</f>
        <v>42219</v>
      </c>
      <c r="C381" s="35">
        <f t="shared" si="4"/>
        <v>42219</v>
      </c>
      <c r="D381" s="17" t="str">
        <f>IF(AND(VLOOKUP(B381,Aug!B:AZ,8,FALSE)&gt;0,VLOOKUP(B381,Aug!B:AZ,6,FALSE)=""), CONCATENATE(TEXT(VLOOKUP(B381,Aug!B:AZ,7,FALSE),"hh:mm"), "-", TEXT(VLOOKUP(B381,Aug!B:AZ,8,FALSE),"[hh]:mm")," Uhr ", IF(VLOOKUP(B381,Aug!B:AZ,12,FALSE)&gt;0, CONCATENATE("und ",TEXT(VLOOKUP(B381,Aug!B:AZ,12,FALSE),"hh:mm"), "-", TEXT(VLOOKUP(B381,Aug!B:AZ,13,FALSE),"[hh]:mm")," Uhr "),"")), IF(VLOOKUP(B381,Aug!B:AZ,6,FALSE)="","",VLOOKUP(VLOOKUP(B381,Aug!B:AZ,6,FALSE),Legende_Code,2,FALSE)))</f>
        <v/>
      </c>
      <c r="E381" s="16" t="str">
        <f>IF(AND(VLOOKUP(B381,Aug!B:AZ,6,FALSE)="", WEEKDAY(B381,2)=6,VLOOKUP(B381,Aug!B:AZ,48,FALSE)&gt;0),VLOOKUP(B381,Aug!B:AZ,48,FALSE)*24,"")</f>
        <v/>
      </c>
      <c r="F381" s="16" t="str">
        <f>IF(AND(VLOOKUP(B381,Aug!B:AZ,6,FALSE)="", WEEKDAY(B381,2)=7,VLOOKUP(B381,Aug!B:AZ,49,FALSE)&gt;0),VLOOKUP(B381,Aug!B:AZ,49,FALSE)*24,"")</f>
        <v/>
      </c>
      <c r="G381" s="16" t="str">
        <f>IF(AND(VLOOKUP(B381,Aug!B:AZ,6,FALSE)="",VLOOKUP(B381,Aug!B:AZ,46,FALSE)&gt;0),VLOOKUP(B381,Aug!B:AZ,46,FALSE)*24,"")</f>
        <v/>
      </c>
      <c r="H381" s="36" t="str">
        <f>IF(AND(VLOOKUP(B381,Aug!B:AZ,6,FALSE)="",VLOOKUP(B381,Aug!B:AZ,50,FALSE)&gt;0),VLOOKUP(B381,Aug!B:AZ,50,FALSE)*24,"")</f>
        <v/>
      </c>
      <c r="I381" s="30" t="str">
        <f>IF(AND(NETWORKDAYS(B381,B381,Feiertage)=1,VLOOKUP(B381,Aug!B:AZ,6,FALSE)="U"),"Urlaub","")</f>
        <v/>
      </c>
      <c r="J381" s="34" t="str">
        <f ca="1">IF(AND(VLOOKUP(B381,Aug!B:AZ,6,FALSE)="",VLOOKUP(B381,Aug!B:AZ,22,FALSE)&lt;0),"Absetzen von","")</f>
        <v/>
      </c>
      <c r="K381" s="263"/>
      <c r="M381" s="316" t="str">
        <f ca="1">IF(VLOOKUP(B381,Aug!B:AZ,22,FALSE)&lt;&gt;0,VLOOKUP(B381,Aug!B:AZ,22,FALSE),"")</f>
        <v/>
      </c>
      <c r="N381" s="327"/>
    </row>
    <row r="382" spans="1:14" x14ac:dyDescent="0.25">
      <c r="B382" s="245">
        <f>Aug!F12</f>
        <v>42220</v>
      </c>
      <c r="C382" s="35">
        <f t="shared" si="4"/>
        <v>42220</v>
      </c>
      <c r="D382" s="17" t="str">
        <f>IF(AND(VLOOKUP(B382,Aug!B:AZ,8,FALSE)&gt;0,VLOOKUP(B382,Aug!B:AZ,6,FALSE)=""), CONCATENATE(TEXT(VLOOKUP(B382,Aug!B:AZ,7,FALSE),"hh:mm"), "-", TEXT(VLOOKUP(B382,Aug!B:AZ,8,FALSE),"[hh]:mm")," Uhr ", IF(VLOOKUP(B382,Aug!B:AZ,12,FALSE)&gt;0, CONCATENATE("und ",TEXT(VLOOKUP(B382,Aug!B:AZ,12,FALSE),"hh:mm"), "-", TEXT(VLOOKUP(B382,Aug!B:AZ,13,FALSE),"[hh]:mm")," Uhr "),"")), IF(VLOOKUP(B382,Aug!B:AZ,6,FALSE)="","",VLOOKUP(VLOOKUP(B382,Aug!B:AZ,6,FALSE),Legende_Code,2,FALSE)))</f>
        <v/>
      </c>
      <c r="E382" s="16" t="str">
        <f>IF(AND(VLOOKUP(B382,Aug!B:AZ,6,FALSE)="", WEEKDAY(B382,2)=6,VLOOKUP(B382,Aug!B:AZ,48,FALSE)&gt;0),VLOOKUP(B382,Aug!B:AZ,48,FALSE)*24,"")</f>
        <v/>
      </c>
      <c r="F382" s="16" t="str">
        <f>IF(AND(VLOOKUP(B382,Aug!B:AZ,6,FALSE)="", WEEKDAY(B382,2)=7,VLOOKUP(B382,Aug!B:AZ,49,FALSE)&gt;0),VLOOKUP(B382,Aug!B:AZ,49,FALSE)*24,"")</f>
        <v/>
      </c>
      <c r="G382" s="16" t="str">
        <f>IF(AND(VLOOKUP(B382,Aug!B:AZ,6,FALSE)="",VLOOKUP(B382,Aug!B:AZ,46,FALSE)&gt;0),VLOOKUP(B382,Aug!B:AZ,46,FALSE)*24,"")</f>
        <v/>
      </c>
      <c r="H382" s="36" t="str">
        <f>IF(AND(VLOOKUP(B382,Aug!B:AZ,6,FALSE)="",VLOOKUP(B382,Aug!B:AZ,50,FALSE)&gt;0),VLOOKUP(B382,Aug!B:AZ,50,FALSE)*24,"")</f>
        <v/>
      </c>
      <c r="I382" s="30" t="str">
        <f>IF(AND(NETWORKDAYS(B382,B382,Feiertage)=1,VLOOKUP(B382,Aug!B:AZ,6,FALSE)="U"),"Urlaub","")</f>
        <v/>
      </c>
      <c r="J382" s="34" t="str">
        <f ca="1">IF(AND(VLOOKUP(B382,Aug!B:AZ,6,FALSE)="",VLOOKUP(B382,Aug!B:AZ,22,FALSE)&lt;0),"Absetzen von","")</f>
        <v/>
      </c>
      <c r="K382" s="263"/>
      <c r="M382" s="316" t="str">
        <f ca="1">IF(VLOOKUP(B382,Aug!B:AZ,22,FALSE)&lt;&gt;0,VLOOKUP(B382,Aug!B:AZ,22,FALSE),"")</f>
        <v/>
      </c>
      <c r="N382" s="327"/>
    </row>
    <row r="383" spans="1:14" x14ac:dyDescent="0.25">
      <c r="B383" s="245">
        <f>Aug!F13</f>
        <v>42221</v>
      </c>
      <c r="C383" s="35">
        <f t="shared" si="4"/>
        <v>42221</v>
      </c>
      <c r="D383" s="17" t="str">
        <f>IF(AND(VLOOKUP(B383,Aug!B:AZ,8,FALSE)&gt;0,VLOOKUP(B383,Aug!B:AZ,6,FALSE)=""), CONCATENATE(TEXT(VLOOKUP(B383,Aug!B:AZ,7,FALSE),"hh:mm"), "-", TEXT(VLOOKUP(B383,Aug!B:AZ,8,FALSE),"[hh]:mm")," Uhr ", IF(VLOOKUP(B383,Aug!B:AZ,12,FALSE)&gt;0, CONCATENATE("und ",TEXT(VLOOKUP(B383,Aug!B:AZ,12,FALSE),"hh:mm"), "-", TEXT(VLOOKUP(B383,Aug!B:AZ,13,FALSE),"[hh]:mm")," Uhr "),"")), IF(VLOOKUP(B383,Aug!B:AZ,6,FALSE)="","",VLOOKUP(VLOOKUP(B383,Aug!B:AZ,6,FALSE),Legende_Code,2,FALSE)))</f>
        <v/>
      </c>
      <c r="E383" s="16" t="str">
        <f>IF(AND(VLOOKUP(B383,Aug!B:AZ,6,FALSE)="", WEEKDAY(B383,2)=6,VLOOKUP(B383,Aug!B:AZ,48,FALSE)&gt;0),VLOOKUP(B383,Aug!B:AZ,48,FALSE)*24,"")</f>
        <v/>
      </c>
      <c r="F383" s="16" t="str">
        <f>IF(AND(VLOOKUP(B383,Aug!B:AZ,6,FALSE)="", WEEKDAY(B383,2)=7,VLOOKUP(B383,Aug!B:AZ,49,FALSE)&gt;0),VLOOKUP(B383,Aug!B:AZ,49,FALSE)*24,"")</f>
        <v/>
      </c>
      <c r="G383" s="16" t="str">
        <f>IF(AND(VLOOKUP(B383,Aug!B:AZ,6,FALSE)="",VLOOKUP(B383,Aug!B:AZ,46,FALSE)&gt;0),VLOOKUP(B383,Aug!B:AZ,46,FALSE)*24,"")</f>
        <v/>
      </c>
      <c r="H383" s="36" t="str">
        <f>IF(AND(VLOOKUP(B383,Aug!B:AZ,6,FALSE)="",VLOOKUP(B383,Aug!B:AZ,50,FALSE)&gt;0),VLOOKUP(B383,Aug!B:AZ,50,FALSE)*24,"")</f>
        <v/>
      </c>
      <c r="I383" s="30" t="str">
        <f>IF(AND(NETWORKDAYS(B383,B383,Feiertage)=1,VLOOKUP(B383,Aug!B:AZ,6,FALSE)="U"),"Urlaub","")</f>
        <v/>
      </c>
      <c r="J383" s="34" t="str">
        <f ca="1">IF(AND(VLOOKUP(B383,Aug!B:AZ,6,FALSE)="",VLOOKUP(B383,Aug!B:AZ,22,FALSE)&lt;0),"Absetzen von","")</f>
        <v/>
      </c>
      <c r="K383" s="263"/>
      <c r="M383" s="316" t="str">
        <f ca="1">IF(VLOOKUP(B383,Aug!B:AZ,22,FALSE)&lt;&gt;0,VLOOKUP(B383,Aug!B:AZ,22,FALSE),"")</f>
        <v/>
      </c>
      <c r="N383" s="327"/>
    </row>
    <row r="384" spans="1:14" x14ac:dyDescent="0.25">
      <c r="B384" s="245">
        <f>Aug!F14</f>
        <v>42222</v>
      </c>
      <c r="C384" s="35">
        <f t="shared" si="4"/>
        <v>42222</v>
      </c>
      <c r="D384" s="17" t="str">
        <f>IF(AND(VLOOKUP(B384,Aug!B:AZ,8,FALSE)&gt;0,VLOOKUP(B384,Aug!B:AZ,6,FALSE)=""), CONCATENATE(TEXT(VLOOKUP(B384,Aug!B:AZ,7,FALSE),"hh:mm"), "-", TEXT(VLOOKUP(B384,Aug!B:AZ,8,FALSE),"[hh]:mm")," Uhr ", IF(VLOOKUP(B384,Aug!B:AZ,12,FALSE)&gt;0, CONCATENATE("und ",TEXT(VLOOKUP(B384,Aug!B:AZ,12,FALSE),"hh:mm"), "-", TEXT(VLOOKUP(B384,Aug!B:AZ,13,FALSE),"[hh]:mm")," Uhr "),"")), IF(VLOOKUP(B384,Aug!B:AZ,6,FALSE)="","",VLOOKUP(VLOOKUP(B384,Aug!B:AZ,6,FALSE),Legende_Code,2,FALSE)))</f>
        <v/>
      </c>
      <c r="E384" s="16" t="str">
        <f>IF(AND(VLOOKUP(B384,Aug!B:AZ,6,FALSE)="", WEEKDAY(B384,2)=6,VLOOKUP(B384,Aug!B:AZ,48,FALSE)&gt;0),VLOOKUP(B384,Aug!B:AZ,48,FALSE)*24,"")</f>
        <v/>
      </c>
      <c r="F384" s="16" t="str">
        <f>IF(AND(VLOOKUP(B384,Aug!B:AZ,6,FALSE)="", WEEKDAY(B384,2)=7,VLOOKUP(B384,Aug!B:AZ,49,FALSE)&gt;0),VLOOKUP(B384,Aug!B:AZ,49,FALSE)*24,"")</f>
        <v/>
      </c>
      <c r="G384" s="16" t="str">
        <f>IF(AND(VLOOKUP(B384,Aug!B:AZ,6,FALSE)="",VLOOKUP(B384,Aug!B:AZ,46,FALSE)&gt;0),VLOOKUP(B384,Aug!B:AZ,46,FALSE)*24,"")</f>
        <v/>
      </c>
      <c r="H384" s="36" t="str">
        <f>IF(AND(VLOOKUP(B384,Aug!B:AZ,6,FALSE)="",VLOOKUP(B384,Aug!B:AZ,50,FALSE)&gt;0),VLOOKUP(B384,Aug!B:AZ,50,FALSE)*24,"")</f>
        <v/>
      </c>
      <c r="I384" s="30" t="str">
        <f>IF(AND(NETWORKDAYS(B384,B384,Feiertage)=1,VLOOKUP(B384,Aug!B:AZ,6,FALSE)="U"),"Urlaub","")</f>
        <v/>
      </c>
      <c r="J384" s="34" t="str">
        <f ca="1">IF(AND(VLOOKUP(B384,Aug!B:AZ,6,FALSE)="",VLOOKUP(B384,Aug!B:AZ,22,FALSE)&lt;0),"Absetzen von","")</f>
        <v/>
      </c>
      <c r="K384" s="263"/>
      <c r="M384" s="316" t="str">
        <f ca="1">IF(VLOOKUP(B384,Aug!B:AZ,22,FALSE)&lt;&gt;0,VLOOKUP(B384,Aug!B:AZ,22,FALSE),"")</f>
        <v/>
      </c>
      <c r="N384" s="327"/>
    </row>
    <row r="385" spans="2:14" x14ac:dyDescent="0.25">
      <c r="B385" s="245">
        <f>Aug!F15</f>
        <v>42223</v>
      </c>
      <c r="C385" s="35">
        <f t="shared" si="4"/>
        <v>42223</v>
      </c>
      <c r="D385" s="17" t="str">
        <f>IF(AND(VLOOKUP(B385,Aug!B:AZ,8,FALSE)&gt;0,VLOOKUP(B385,Aug!B:AZ,6,FALSE)=""), CONCATENATE(TEXT(VLOOKUP(B385,Aug!B:AZ,7,FALSE),"hh:mm"), "-", TEXT(VLOOKUP(B385,Aug!B:AZ,8,FALSE),"[hh]:mm")," Uhr ", IF(VLOOKUP(B385,Aug!B:AZ,12,FALSE)&gt;0, CONCATENATE("und ",TEXT(VLOOKUP(B385,Aug!B:AZ,12,FALSE),"hh:mm"), "-", TEXT(VLOOKUP(B385,Aug!B:AZ,13,FALSE),"[hh]:mm")," Uhr "),"")), IF(VLOOKUP(B385,Aug!B:AZ,6,FALSE)="","",VLOOKUP(VLOOKUP(B385,Aug!B:AZ,6,FALSE),Legende_Code,2,FALSE)))</f>
        <v/>
      </c>
      <c r="E385" s="16" t="str">
        <f>IF(AND(VLOOKUP(B385,Aug!B:AZ,6,FALSE)="", WEEKDAY(B385,2)=6,VLOOKUP(B385,Aug!B:AZ,48,FALSE)&gt;0),VLOOKUP(B385,Aug!B:AZ,48,FALSE)*24,"")</f>
        <v/>
      </c>
      <c r="F385" s="16" t="str">
        <f>IF(AND(VLOOKUP(B385,Aug!B:AZ,6,FALSE)="", WEEKDAY(B385,2)=7,VLOOKUP(B385,Aug!B:AZ,49,FALSE)&gt;0),VLOOKUP(B385,Aug!B:AZ,49,FALSE)*24,"")</f>
        <v/>
      </c>
      <c r="G385" s="16" t="str">
        <f>IF(AND(VLOOKUP(B385,Aug!B:AZ,6,FALSE)="",VLOOKUP(B385,Aug!B:AZ,46,FALSE)&gt;0),VLOOKUP(B385,Aug!B:AZ,46,FALSE)*24,"")</f>
        <v/>
      </c>
      <c r="H385" s="36" t="str">
        <f>IF(AND(VLOOKUP(B385,Aug!B:AZ,6,FALSE)="",VLOOKUP(B385,Aug!B:AZ,50,FALSE)&gt;0),VLOOKUP(B385,Aug!B:AZ,50,FALSE)*24,"")</f>
        <v/>
      </c>
      <c r="I385" s="30" t="str">
        <f>IF(AND(NETWORKDAYS(B385,B385,Feiertage)=1,VLOOKUP(B385,Aug!B:AZ,6,FALSE)="U"),"Urlaub","")</f>
        <v/>
      </c>
      <c r="J385" s="34" t="str">
        <f ca="1">IF(AND(VLOOKUP(B385,Aug!B:AZ,6,FALSE)="",VLOOKUP(B385,Aug!B:AZ,22,FALSE)&lt;0),"Absetzen von","")</f>
        <v/>
      </c>
      <c r="K385" s="263"/>
      <c r="M385" s="316" t="str">
        <f ca="1">IF(VLOOKUP(B385,Aug!B:AZ,22,FALSE)&lt;&gt;0,VLOOKUP(B385,Aug!B:AZ,22,FALSE),"")</f>
        <v/>
      </c>
      <c r="N385" s="327"/>
    </row>
    <row r="386" spans="2:14" x14ac:dyDescent="0.25">
      <c r="B386" s="245">
        <f>Aug!F16</f>
        <v>42224</v>
      </c>
      <c r="C386" s="35">
        <f t="shared" si="4"/>
        <v>42224</v>
      </c>
      <c r="D386" s="17" t="str">
        <f>IF(AND(VLOOKUP(B386,Aug!B:AZ,8,FALSE)&gt;0,VLOOKUP(B386,Aug!B:AZ,6,FALSE)=""), CONCATENATE(TEXT(VLOOKUP(B386,Aug!B:AZ,7,FALSE),"hh:mm"), "-", TEXT(VLOOKUP(B386,Aug!B:AZ,8,FALSE),"[hh]:mm")," Uhr ", IF(VLOOKUP(B386,Aug!B:AZ,12,FALSE)&gt;0, CONCATENATE("und ",TEXT(VLOOKUP(B386,Aug!B:AZ,12,FALSE),"hh:mm"), "-", TEXT(VLOOKUP(B386,Aug!B:AZ,13,FALSE),"[hh]:mm")," Uhr "),"")), IF(VLOOKUP(B386,Aug!B:AZ,6,FALSE)="","",VLOOKUP(VLOOKUP(B386,Aug!B:AZ,6,FALSE),Legende_Code,2,FALSE)))</f>
        <v/>
      </c>
      <c r="E386" s="16" t="str">
        <f>IF(AND(VLOOKUP(B386,Aug!B:AZ,6,FALSE)="", WEEKDAY(B386,2)=6,VLOOKUP(B386,Aug!B:AZ,48,FALSE)&gt;0),VLOOKUP(B386,Aug!B:AZ,48,FALSE)*24,"")</f>
        <v/>
      </c>
      <c r="F386" s="16" t="str">
        <f>IF(AND(VLOOKUP(B386,Aug!B:AZ,6,FALSE)="", WEEKDAY(B386,2)=7,VLOOKUP(B386,Aug!B:AZ,49,FALSE)&gt;0),VLOOKUP(B386,Aug!B:AZ,49,FALSE)*24,"")</f>
        <v/>
      </c>
      <c r="G386" s="16" t="str">
        <f>IF(AND(VLOOKUP(B386,Aug!B:AZ,6,FALSE)="",VLOOKUP(B386,Aug!B:AZ,46,FALSE)&gt;0),VLOOKUP(B386,Aug!B:AZ,46,FALSE)*24,"")</f>
        <v/>
      </c>
      <c r="H386" s="36" t="str">
        <f>IF(AND(VLOOKUP(B386,Aug!B:AZ,6,FALSE)="",VLOOKUP(B386,Aug!B:AZ,50,FALSE)&gt;0),VLOOKUP(B386,Aug!B:AZ,50,FALSE)*24,"")</f>
        <v/>
      </c>
      <c r="I386" s="30" t="str">
        <f>IF(AND(NETWORKDAYS(B386,B386,Feiertage)=1,VLOOKUP(B386,Aug!B:AZ,6,FALSE)="U"),"Urlaub","")</f>
        <v/>
      </c>
      <c r="J386" s="34" t="str">
        <f ca="1">IF(AND(VLOOKUP(B386,Aug!B:AZ,6,FALSE)="",VLOOKUP(B386,Aug!B:AZ,22,FALSE)&lt;0),"Absetzen von","")</f>
        <v/>
      </c>
      <c r="K386" s="263"/>
      <c r="M386" s="316" t="str">
        <f ca="1">IF(VLOOKUP(B386,Aug!B:AZ,22,FALSE)&lt;&gt;0,VLOOKUP(B386,Aug!B:AZ,22,FALSE),"")</f>
        <v/>
      </c>
      <c r="N386" s="327"/>
    </row>
    <row r="387" spans="2:14" x14ac:dyDescent="0.25">
      <c r="B387" s="245">
        <f>Aug!F17</f>
        <v>42225</v>
      </c>
      <c r="C387" s="35">
        <f t="shared" si="4"/>
        <v>42225</v>
      </c>
      <c r="D387" s="17" t="str">
        <f>IF(AND(VLOOKUP(B387,Aug!B:AZ,8,FALSE)&gt;0,VLOOKUP(B387,Aug!B:AZ,6,FALSE)=""), CONCATENATE(TEXT(VLOOKUP(B387,Aug!B:AZ,7,FALSE),"hh:mm"), "-", TEXT(VLOOKUP(B387,Aug!B:AZ,8,FALSE),"[hh]:mm")," Uhr ", IF(VLOOKUP(B387,Aug!B:AZ,12,FALSE)&gt;0, CONCATENATE("und ",TEXT(VLOOKUP(B387,Aug!B:AZ,12,FALSE),"hh:mm"), "-", TEXT(VLOOKUP(B387,Aug!B:AZ,13,FALSE),"[hh]:mm")," Uhr "),"")), IF(VLOOKUP(B387,Aug!B:AZ,6,FALSE)="","",VLOOKUP(VLOOKUP(B387,Aug!B:AZ,6,FALSE),Legende_Code,2,FALSE)))</f>
        <v/>
      </c>
      <c r="E387" s="16" t="str">
        <f>IF(AND(VLOOKUP(B387,Aug!B:AZ,6,FALSE)="", WEEKDAY(B387,2)=6,VLOOKUP(B387,Aug!B:AZ,48,FALSE)&gt;0),VLOOKUP(B387,Aug!B:AZ,48,FALSE)*24,"")</f>
        <v/>
      </c>
      <c r="F387" s="16" t="str">
        <f>IF(AND(VLOOKUP(B387,Aug!B:AZ,6,FALSE)="", WEEKDAY(B387,2)=7,VLOOKUP(B387,Aug!B:AZ,49,FALSE)&gt;0),VLOOKUP(B387,Aug!B:AZ,49,FALSE)*24,"")</f>
        <v/>
      </c>
      <c r="G387" s="16" t="str">
        <f>IF(AND(VLOOKUP(B387,Aug!B:AZ,6,FALSE)="",VLOOKUP(B387,Aug!B:AZ,46,FALSE)&gt;0),VLOOKUP(B387,Aug!B:AZ,46,FALSE)*24,"")</f>
        <v/>
      </c>
      <c r="H387" s="36" t="str">
        <f>IF(AND(VLOOKUP(B387,Aug!B:AZ,6,FALSE)="",VLOOKUP(B387,Aug!B:AZ,50,FALSE)&gt;0),VLOOKUP(B387,Aug!B:AZ,50,FALSE)*24,"")</f>
        <v/>
      </c>
      <c r="I387" s="30" t="str">
        <f>IF(AND(NETWORKDAYS(B387,B387,Feiertage)=1,VLOOKUP(B387,Aug!B:AZ,6,FALSE)="U"),"Urlaub","")</f>
        <v/>
      </c>
      <c r="J387" s="34" t="str">
        <f ca="1">IF(AND(VLOOKUP(B387,Aug!B:AZ,6,FALSE)="",VLOOKUP(B387,Aug!B:AZ,22,FALSE)&lt;0),"Absetzen von","")</f>
        <v/>
      </c>
      <c r="K387" s="263"/>
      <c r="M387" s="316" t="str">
        <f ca="1">IF(VLOOKUP(B387,Aug!B:AZ,22,FALSE)&lt;&gt;0,VLOOKUP(B387,Aug!B:AZ,22,FALSE),"")</f>
        <v/>
      </c>
      <c r="N387" s="327"/>
    </row>
    <row r="388" spans="2:14" x14ac:dyDescent="0.25">
      <c r="B388" s="245">
        <f>Aug!F18</f>
        <v>42226</v>
      </c>
      <c r="C388" s="35">
        <f t="shared" si="4"/>
        <v>42226</v>
      </c>
      <c r="D388" s="17" t="str">
        <f>IF(AND(VLOOKUP(B388,Aug!B:AZ,8,FALSE)&gt;0,VLOOKUP(B388,Aug!B:AZ,6,FALSE)=""), CONCATENATE(TEXT(VLOOKUP(B388,Aug!B:AZ,7,FALSE),"hh:mm"), "-", TEXT(VLOOKUP(B388,Aug!B:AZ,8,FALSE),"[hh]:mm")," Uhr ", IF(VLOOKUP(B388,Aug!B:AZ,12,FALSE)&gt;0, CONCATENATE("und ",TEXT(VLOOKUP(B388,Aug!B:AZ,12,FALSE),"hh:mm"), "-", TEXT(VLOOKUP(B388,Aug!B:AZ,13,FALSE),"[hh]:mm")," Uhr "),"")), IF(VLOOKUP(B388,Aug!B:AZ,6,FALSE)="","",VLOOKUP(VLOOKUP(B388,Aug!B:AZ,6,FALSE),Legende_Code,2,FALSE)))</f>
        <v/>
      </c>
      <c r="E388" s="16" t="str">
        <f>IF(AND(VLOOKUP(B388,Aug!B:AZ,6,FALSE)="", WEEKDAY(B388,2)=6,VLOOKUP(B388,Aug!B:AZ,48,FALSE)&gt;0),VLOOKUP(B388,Aug!B:AZ,48,FALSE)*24,"")</f>
        <v/>
      </c>
      <c r="F388" s="16" t="str">
        <f>IF(AND(VLOOKUP(B388,Aug!B:AZ,6,FALSE)="", WEEKDAY(B388,2)=7,VLOOKUP(B388,Aug!B:AZ,49,FALSE)&gt;0),VLOOKUP(B388,Aug!B:AZ,49,FALSE)*24,"")</f>
        <v/>
      </c>
      <c r="G388" s="16" t="str">
        <f>IF(AND(VLOOKUP(B388,Aug!B:AZ,6,FALSE)="",VLOOKUP(B388,Aug!B:AZ,46,FALSE)&gt;0),VLOOKUP(B388,Aug!B:AZ,46,FALSE)*24,"")</f>
        <v/>
      </c>
      <c r="H388" s="36" t="str">
        <f>IF(AND(VLOOKUP(B388,Aug!B:AZ,6,FALSE)="",VLOOKUP(B388,Aug!B:AZ,50,FALSE)&gt;0),VLOOKUP(B388,Aug!B:AZ,50,FALSE)*24,"")</f>
        <v/>
      </c>
      <c r="I388" s="30" t="str">
        <f>IF(AND(NETWORKDAYS(B388,B388,Feiertage)=1,VLOOKUP(B388,Aug!B:AZ,6,FALSE)="U"),"Urlaub","")</f>
        <v/>
      </c>
      <c r="J388" s="34" t="str">
        <f ca="1">IF(AND(VLOOKUP(B388,Aug!B:AZ,6,FALSE)="",VLOOKUP(B388,Aug!B:AZ,22,FALSE)&lt;0),"Absetzen von","")</f>
        <v/>
      </c>
      <c r="K388" s="263"/>
      <c r="M388" s="316" t="str">
        <f ca="1">IF(VLOOKUP(B388,Aug!B:AZ,22,FALSE)&lt;&gt;0,VLOOKUP(B388,Aug!B:AZ,22,FALSE),"")</f>
        <v/>
      </c>
      <c r="N388" s="327"/>
    </row>
    <row r="389" spans="2:14" x14ac:dyDescent="0.25">
      <c r="B389" s="245">
        <f>Aug!F19</f>
        <v>42227</v>
      </c>
      <c r="C389" s="35">
        <f t="shared" si="4"/>
        <v>42227</v>
      </c>
      <c r="D389" s="17" t="str">
        <f>IF(AND(VLOOKUP(B389,Aug!B:AZ,8,FALSE)&gt;0,VLOOKUP(B389,Aug!B:AZ,6,FALSE)=""), CONCATENATE(TEXT(VLOOKUP(B389,Aug!B:AZ,7,FALSE),"hh:mm"), "-", TEXT(VLOOKUP(B389,Aug!B:AZ,8,FALSE),"[hh]:mm")," Uhr ", IF(VLOOKUP(B389,Aug!B:AZ,12,FALSE)&gt;0, CONCATENATE("und ",TEXT(VLOOKUP(B389,Aug!B:AZ,12,FALSE),"hh:mm"), "-", TEXT(VLOOKUP(B389,Aug!B:AZ,13,FALSE),"[hh]:mm")," Uhr "),"")), IF(VLOOKUP(B389,Aug!B:AZ,6,FALSE)="","",VLOOKUP(VLOOKUP(B389,Aug!B:AZ,6,FALSE),Legende_Code,2,FALSE)))</f>
        <v/>
      </c>
      <c r="E389" s="16" t="str">
        <f>IF(AND(VLOOKUP(B389,Aug!B:AZ,6,FALSE)="", WEEKDAY(B389,2)=6,VLOOKUP(B389,Aug!B:AZ,48,FALSE)&gt;0),VLOOKUP(B389,Aug!B:AZ,48,FALSE)*24,"")</f>
        <v/>
      </c>
      <c r="F389" s="16" t="str">
        <f>IF(AND(VLOOKUP(B389,Aug!B:AZ,6,FALSE)="", WEEKDAY(B389,2)=7,VLOOKUP(B389,Aug!B:AZ,49,FALSE)&gt;0),VLOOKUP(B389,Aug!B:AZ,49,FALSE)*24,"")</f>
        <v/>
      </c>
      <c r="G389" s="16" t="str">
        <f>IF(AND(VLOOKUP(B389,Aug!B:AZ,6,FALSE)="",VLOOKUP(B389,Aug!B:AZ,46,FALSE)&gt;0),VLOOKUP(B389,Aug!B:AZ,46,FALSE)*24,"")</f>
        <v/>
      </c>
      <c r="H389" s="36" t="str">
        <f>IF(AND(VLOOKUP(B389,Aug!B:AZ,6,FALSE)="",VLOOKUP(B389,Aug!B:AZ,50,FALSE)&gt;0),VLOOKUP(B389,Aug!B:AZ,50,FALSE)*24,"")</f>
        <v/>
      </c>
      <c r="I389" s="30" t="str">
        <f>IF(AND(NETWORKDAYS(B389,B389,Feiertage)=1,VLOOKUP(B389,Aug!B:AZ,6,FALSE)="U"),"Urlaub","")</f>
        <v/>
      </c>
      <c r="J389" s="34" t="str">
        <f ca="1">IF(AND(VLOOKUP(B389,Aug!B:AZ,6,FALSE)="",VLOOKUP(B389,Aug!B:AZ,22,FALSE)&lt;0),"Absetzen von","")</f>
        <v/>
      </c>
      <c r="K389" s="263"/>
      <c r="M389" s="316" t="str">
        <f ca="1">IF(VLOOKUP(B389,Aug!B:AZ,22,FALSE)&lt;&gt;0,VLOOKUP(B389,Aug!B:AZ,22,FALSE),"")</f>
        <v/>
      </c>
      <c r="N389" s="327"/>
    </row>
    <row r="390" spans="2:14" x14ac:dyDescent="0.25">
      <c r="B390" s="245">
        <f>Aug!F20</f>
        <v>42228</v>
      </c>
      <c r="C390" s="35">
        <f t="shared" si="4"/>
        <v>42228</v>
      </c>
      <c r="D390" s="17" t="str">
        <f>IF(AND(VLOOKUP(B390,Aug!B:AZ,8,FALSE)&gt;0,VLOOKUP(B390,Aug!B:AZ,6,FALSE)=""), CONCATENATE(TEXT(VLOOKUP(B390,Aug!B:AZ,7,FALSE),"hh:mm"), "-", TEXT(VLOOKUP(B390,Aug!B:AZ,8,FALSE),"[hh]:mm")," Uhr ", IF(VLOOKUP(B390,Aug!B:AZ,12,FALSE)&gt;0, CONCATENATE("und ",TEXT(VLOOKUP(B390,Aug!B:AZ,12,FALSE),"hh:mm"), "-", TEXT(VLOOKUP(B390,Aug!B:AZ,13,FALSE),"[hh]:mm")," Uhr "),"")), IF(VLOOKUP(B390,Aug!B:AZ,6,FALSE)="","",VLOOKUP(VLOOKUP(B390,Aug!B:AZ,6,FALSE),Legende_Code,2,FALSE)))</f>
        <v/>
      </c>
      <c r="E390" s="16" t="str">
        <f>IF(AND(VLOOKUP(B390,Aug!B:AZ,6,FALSE)="", WEEKDAY(B390,2)=6,VLOOKUP(B390,Aug!B:AZ,48,FALSE)&gt;0),VLOOKUP(B390,Aug!B:AZ,48,FALSE)*24,"")</f>
        <v/>
      </c>
      <c r="F390" s="16" t="str">
        <f>IF(AND(VLOOKUP(B390,Aug!B:AZ,6,FALSE)="", WEEKDAY(B390,2)=7,VLOOKUP(B390,Aug!B:AZ,49,FALSE)&gt;0),VLOOKUP(B390,Aug!B:AZ,49,FALSE)*24,"")</f>
        <v/>
      </c>
      <c r="G390" s="16" t="str">
        <f>IF(AND(VLOOKUP(B390,Aug!B:AZ,6,FALSE)="",VLOOKUP(B390,Aug!B:AZ,46,FALSE)&gt;0),VLOOKUP(B390,Aug!B:AZ,46,FALSE)*24,"")</f>
        <v/>
      </c>
      <c r="H390" s="36" t="str">
        <f>IF(AND(VLOOKUP(B390,Aug!B:AZ,6,FALSE)="",VLOOKUP(B390,Aug!B:AZ,50,FALSE)&gt;0),VLOOKUP(B390,Aug!B:AZ,50,FALSE)*24,"")</f>
        <v/>
      </c>
      <c r="I390" s="30" t="str">
        <f>IF(AND(NETWORKDAYS(B390,B390,Feiertage)=1,VLOOKUP(B390,Aug!B:AZ,6,FALSE)="U"),"Urlaub","")</f>
        <v/>
      </c>
      <c r="J390" s="34" t="str">
        <f ca="1">IF(AND(VLOOKUP(B390,Aug!B:AZ,6,FALSE)="",VLOOKUP(B390,Aug!B:AZ,22,FALSE)&lt;0),"Absetzen von","")</f>
        <v/>
      </c>
      <c r="K390" s="263"/>
      <c r="M390" s="316" t="str">
        <f ca="1">IF(VLOOKUP(B390,Aug!B:AZ,22,FALSE)&lt;&gt;0,VLOOKUP(B390,Aug!B:AZ,22,FALSE),"")</f>
        <v/>
      </c>
      <c r="N390" s="327"/>
    </row>
    <row r="391" spans="2:14" x14ac:dyDescent="0.25">
      <c r="B391" s="245">
        <f>Aug!F21</f>
        <v>42229</v>
      </c>
      <c r="C391" s="35">
        <f t="shared" si="4"/>
        <v>42229</v>
      </c>
      <c r="D391" s="17" t="str">
        <f>IF(AND(VLOOKUP(B391,Aug!B:AZ,8,FALSE)&gt;0,VLOOKUP(B391,Aug!B:AZ,6,FALSE)=""), CONCATENATE(TEXT(VLOOKUP(B391,Aug!B:AZ,7,FALSE),"hh:mm"), "-", TEXT(VLOOKUP(B391,Aug!B:AZ,8,FALSE),"[hh]:mm")," Uhr ", IF(VLOOKUP(B391,Aug!B:AZ,12,FALSE)&gt;0, CONCATENATE("und ",TEXT(VLOOKUP(B391,Aug!B:AZ,12,FALSE),"hh:mm"), "-", TEXT(VLOOKUP(B391,Aug!B:AZ,13,FALSE),"[hh]:mm")," Uhr "),"")), IF(VLOOKUP(B391,Aug!B:AZ,6,FALSE)="","",VLOOKUP(VLOOKUP(B391,Aug!B:AZ,6,FALSE),Legende_Code,2,FALSE)))</f>
        <v/>
      </c>
      <c r="E391" s="16" t="str">
        <f>IF(AND(VLOOKUP(B391,Aug!B:AZ,6,FALSE)="", WEEKDAY(B391,2)=6,VLOOKUP(B391,Aug!B:AZ,48,FALSE)&gt;0),VLOOKUP(B391,Aug!B:AZ,48,FALSE)*24,"")</f>
        <v/>
      </c>
      <c r="F391" s="16" t="str">
        <f>IF(AND(VLOOKUP(B391,Aug!B:AZ,6,FALSE)="", WEEKDAY(B391,2)=7,VLOOKUP(B391,Aug!B:AZ,49,FALSE)&gt;0),VLOOKUP(B391,Aug!B:AZ,49,FALSE)*24,"")</f>
        <v/>
      </c>
      <c r="G391" s="16" t="str">
        <f>IF(AND(VLOOKUP(B391,Aug!B:AZ,6,FALSE)="",VLOOKUP(B391,Aug!B:AZ,46,FALSE)&gt;0),VLOOKUP(B391,Aug!B:AZ,46,FALSE)*24,"")</f>
        <v/>
      </c>
      <c r="H391" s="36" t="str">
        <f>IF(AND(VLOOKUP(B391,Aug!B:AZ,6,FALSE)="",VLOOKUP(B391,Aug!B:AZ,50,FALSE)&gt;0),VLOOKUP(B391,Aug!B:AZ,50,FALSE)*24,"")</f>
        <v/>
      </c>
      <c r="I391" s="30" t="str">
        <f>IF(AND(NETWORKDAYS(B391,B391,Feiertage)=1,VLOOKUP(B391,Aug!B:AZ,6,FALSE)="U"),"Urlaub","")</f>
        <v/>
      </c>
      <c r="J391" s="34" t="str">
        <f ca="1">IF(AND(VLOOKUP(B391,Aug!B:AZ,6,FALSE)="",VLOOKUP(B391,Aug!B:AZ,22,FALSE)&lt;0),"Absetzen von","")</f>
        <v/>
      </c>
      <c r="K391" s="263"/>
      <c r="M391" s="316" t="str">
        <f ca="1">IF(VLOOKUP(B391,Aug!B:AZ,22,FALSE)&lt;&gt;0,VLOOKUP(B391,Aug!B:AZ,22,FALSE),"")</f>
        <v/>
      </c>
      <c r="N391" s="327"/>
    </row>
    <row r="392" spans="2:14" x14ac:dyDescent="0.25">
      <c r="B392" s="245">
        <f>Aug!F22</f>
        <v>42230</v>
      </c>
      <c r="C392" s="35">
        <f t="shared" si="4"/>
        <v>42230</v>
      </c>
      <c r="D392" s="17" t="str">
        <f>IF(AND(VLOOKUP(B392,Aug!B:AZ,8,FALSE)&gt;0,VLOOKUP(B392,Aug!B:AZ,6,FALSE)=""), CONCATENATE(TEXT(VLOOKUP(B392,Aug!B:AZ,7,FALSE),"hh:mm"), "-", TEXT(VLOOKUP(B392,Aug!B:AZ,8,FALSE),"[hh]:mm")," Uhr ", IF(VLOOKUP(B392,Aug!B:AZ,12,FALSE)&gt;0, CONCATENATE("und ",TEXT(VLOOKUP(B392,Aug!B:AZ,12,FALSE),"hh:mm"), "-", TEXT(VLOOKUP(B392,Aug!B:AZ,13,FALSE),"[hh]:mm")," Uhr "),"")), IF(VLOOKUP(B392,Aug!B:AZ,6,FALSE)="","",VLOOKUP(VLOOKUP(B392,Aug!B:AZ,6,FALSE),Legende_Code,2,FALSE)))</f>
        <v/>
      </c>
      <c r="E392" s="16" t="str">
        <f>IF(AND(VLOOKUP(B392,Aug!B:AZ,6,FALSE)="", WEEKDAY(B392,2)=6,VLOOKUP(B392,Aug!B:AZ,48,FALSE)&gt;0),VLOOKUP(B392,Aug!B:AZ,48,FALSE)*24,"")</f>
        <v/>
      </c>
      <c r="F392" s="16" t="str">
        <f>IF(AND(VLOOKUP(B392,Aug!B:AZ,6,FALSE)="", WEEKDAY(B392,2)=7,VLOOKUP(B392,Aug!B:AZ,49,FALSE)&gt;0),VLOOKUP(B392,Aug!B:AZ,49,FALSE)*24,"")</f>
        <v/>
      </c>
      <c r="G392" s="16" t="str">
        <f>IF(AND(VLOOKUP(B392,Aug!B:AZ,6,FALSE)="",VLOOKUP(B392,Aug!B:AZ,46,FALSE)&gt;0),VLOOKUP(B392,Aug!B:AZ,46,FALSE)*24,"")</f>
        <v/>
      </c>
      <c r="H392" s="36" t="str">
        <f>IF(AND(VLOOKUP(B392,Aug!B:AZ,6,FALSE)="",VLOOKUP(B392,Aug!B:AZ,50,FALSE)&gt;0),VLOOKUP(B392,Aug!B:AZ,50,FALSE)*24,"")</f>
        <v/>
      </c>
      <c r="I392" s="30" t="str">
        <f>IF(AND(NETWORKDAYS(B392,B392,Feiertage)=1,VLOOKUP(B392,Aug!B:AZ,6,FALSE)="U"),"Urlaub","")</f>
        <v/>
      </c>
      <c r="J392" s="34" t="str">
        <f ca="1">IF(AND(VLOOKUP(B392,Aug!B:AZ,6,FALSE)="",VLOOKUP(B392,Aug!B:AZ,22,FALSE)&lt;0),"Absetzen von","")</f>
        <v/>
      </c>
      <c r="K392" s="263"/>
      <c r="M392" s="316" t="str">
        <f ca="1">IF(VLOOKUP(B392,Aug!B:AZ,22,FALSE)&lt;&gt;0,VLOOKUP(B392,Aug!B:AZ,22,FALSE),"")</f>
        <v/>
      </c>
      <c r="N392" s="327"/>
    </row>
    <row r="393" spans="2:14" x14ac:dyDescent="0.25">
      <c r="B393" s="245">
        <f>Aug!F23</f>
        <v>42231</v>
      </c>
      <c r="C393" s="35">
        <f t="shared" si="4"/>
        <v>42231</v>
      </c>
      <c r="D393" s="17" t="str">
        <f>IF(AND(VLOOKUP(B393,Aug!B:AZ,8,FALSE)&gt;0,VLOOKUP(B393,Aug!B:AZ,6,FALSE)=""), CONCATENATE(TEXT(VLOOKUP(B393,Aug!B:AZ,7,FALSE),"hh:mm"), "-", TEXT(VLOOKUP(B393,Aug!B:AZ,8,FALSE),"[hh]:mm")," Uhr ", IF(VLOOKUP(B393,Aug!B:AZ,12,FALSE)&gt;0, CONCATENATE("und ",TEXT(VLOOKUP(B393,Aug!B:AZ,12,FALSE),"hh:mm"), "-", TEXT(VLOOKUP(B393,Aug!B:AZ,13,FALSE),"[hh]:mm")," Uhr "),"")), IF(VLOOKUP(B393,Aug!B:AZ,6,FALSE)="","",VLOOKUP(VLOOKUP(B393,Aug!B:AZ,6,FALSE),Legende_Code,2,FALSE)))</f>
        <v/>
      </c>
      <c r="E393" s="16" t="str">
        <f>IF(AND(VLOOKUP(B393,Aug!B:AZ,6,FALSE)="", WEEKDAY(B393,2)=6,VLOOKUP(B393,Aug!B:AZ,48,FALSE)&gt;0),VLOOKUP(B393,Aug!B:AZ,48,FALSE)*24,"")</f>
        <v/>
      </c>
      <c r="F393" s="16" t="str">
        <f>IF(AND(VLOOKUP(B393,Aug!B:AZ,6,FALSE)="", WEEKDAY(B393,2)=7,VLOOKUP(B393,Aug!B:AZ,49,FALSE)&gt;0),VLOOKUP(B393,Aug!B:AZ,49,FALSE)*24,"")</f>
        <v/>
      </c>
      <c r="G393" s="16" t="str">
        <f>IF(AND(VLOOKUP(B393,Aug!B:AZ,6,FALSE)="",VLOOKUP(B393,Aug!B:AZ,46,FALSE)&gt;0),VLOOKUP(B393,Aug!B:AZ,46,FALSE)*24,"")</f>
        <v/>
      </c>
      <c r="H393" s="36" t="str">
        <f>IF(AND(VLOOKUP(B393,Aug!B:AZ,6,FALSE)="",VLOOKUP(B393,Aug!B:AZ,50,FALSE)&gt;0),VLOOKUP(B393,Aug!B:AZ,50,FALSE)*24,"")</f>
        <v/>
      </c>
      <c r="I393" s="30" t="str">
        <f>IF(AND(NETWORKDAYS(B393,B393,Feiertage)=1,VLOOKUP(B393,Aug!B:AZ,6,FALSE)="U"),"Urlaub","")</f>
        <v/>
      </c>
      <c r="J393" s="34" t="str">
        <f ca="1">IF(AND(VLOOKUP(B393,Aug!B:AZ,6,FALSE)="",VLOOKUP(B393,Aug!B:AZ,22,FALSE)&lt;0),"Absetzen von","")</f>
        <v/>
      </c>
      <c r="K393" s="263"/>
      <c r="M393" s="316" t="str">
        <f ca="1">IF(VLOOKUP(B393,Aug!B:AZ,22,FALSE)&lt;&gt;0,VLOOKUP(B393,Aug!B:AZ,22,FALSE),"")</f>
        <v/>
      </c>
      <c r="N393" s="327"/>
    </row>
    <row r="394" spans="2:14" x14ac:dyDescent="0.25">
      <c r="B394" s="245">
        <f>Aug!F24</f>
        <v>42232</v>
      </c>
      <c r="C394" s="35">
        <f t="shared" si="4"/>
        <v>42232</v>
      </c>
      <c r="D394" s="17" t="str">
        <f>IF(AND(VLOOKUP(B394,Aug!B:AZ,8,FALSE)&gt;0,VLOOKUP(B394,Aug!B:AZ,6,FALSE)=""), CONCATENATE(TEXT(VLOOKUP(B394,Aug!B:AZ,7,FALSE),"hh:mm"), "-", TEXT(VLOOKUP(B394,Aug!B:AZ,8,FALSE),"[hh]:mm")," Uhr ", IF(VLOOKUP(B394,Aug!B:AZ,12,FALSE)&gt;0, CONCATENATE("und ",TEXT(VLOOKUP(B394,Aug!B:AZ,12,FALSE),"hh:mm"), "-", TEXT(VLOOKUP(B394,Aug!B:AZ,13,FALSE),"[hh]:mm")," Uhr "),"")), IF(VLOOKUP(B394,Aug!B:AZ,6,FALSE)="","",VLOOKUP(VLOOKUP(B394,Aug!B:AZ,6,FALSE),Legende_Code,2,FALSE)))</f>
        <v/>
      </c>
      <c r="E394" s="16" t="str">
        <f>IF(AND(VLOOKUP(B394,Aug!B:AZ,6,FALSE)="", WEEKDAY(B394,2)=6,VLOOKUP(B394,Aug!B:AZ,48,FALSE)&gt;0),VLOOKUP(B394,Aug!B:AZ,48,FALSE)*24,"")</f>
        <v/>
      </c>
      <c r="F394" s="16" t="str">
        <f>IF(AND(VLOOKUP(B394,Aug!B:AZ,6,FALSE)="", WEEKDAY(B394,2)=7,VLOOKUP(B394,Aug!B:AZ,49,FALSE)&gt;0),VLOOKUP(B394,Aug!B:AZ,49,FALSE)*24,"")</f>
        <v/>
      </c>
      <c r="G394" s="16" t="str">
        <f>IF(AND(VLOOKUP(B394,Aug!B:AZ,6,FALSE)="",VLOOKUP(B394,Aug!B:AZ,46,FALSE)&gt;0),VLOOKUP(B394,Aug!B:AZ,46,FALSE)*24,"")</f>
        <v/>
      </c>
      <c r="H394" s="36" t="str">
        <f>IF(AND(VLOOKUP(B394,Aug!B:AZ,6,FALSE)="",VLOOKUP(B394,Aug!B:AZ,50,FALSE)&gt;0),VLOOKUP(B394,Aug!B:AZ,50,FALSE)*24,"")</f>
        <v/>
      </c>
      <c r="I394" s="30" t="str">
        <f>IF(AND(NETWORKDAYS(B394,B394,Feiertage)=1,VLOOKUP(B394,Aug!B:AZ,6,FALSE)="U"),"Urlaub","")</f>
        <v/>
      </c>
      <c r="J394" s="34" t="str">
        <f ca="1">IF(AND(VLOOKUP(B394,Aug!B:AZ,6,FALSE)="",VLOOKUP(B394,Aug!B:AZ,22,FALSE)&lt;0),"Absetzen von","")</f>
        <v/>
      </c>
      <c r="K394" s="263"/>
      <c r="M394" s="316" t="str">
        <f ca="1">IF(VLOOKUP(B394,Aug!B:AZ,22,FALSE)&lt;&gt;0,VLOOKUP(B394,Aug!B:AZ,22,FALSE),"")</f>
        <v/>
      </c>
      <c r="N394" s="327"/>
    </row>
    <row r="395" spans="2:14" x14ac:dyDescent="0.25">
      <c r="B395" s="245">
        <f>Aug!F25</f>
        <v>42233</v>
      </c>
      <c r="C395" s="35">
        <f t="shared" si="4"/>
        <v>42233</v>
      </c>
      <c r="D395" s="17" t="str">
        <f>IF(AND(VLOOKUP(B395,Aug!B:AZ,8,FALSE)&gt;0,VLOOKUP(B395,Aug!B:AZ,6,FALSE)=""), CONCATENATE(TEXT(VLOOKUP(B395,Aug!B:AZ,7,FALSE),"hh:mm"), "-", TEXT(VLOOKUP(B395,Aug!B:AZ,8,FALSE),"[hh]:mm")," Uhr ", IF(VLOOKUP(B395,Aug!B:AZ,12,FALSE)&gt;0, CONCATENATE("und ",TEXT(VLOOKUP(B395,Aug!B:AZ,12,FALSE),"hh:mm"), "-", TEXT(VLOOKUP(B395,Aug!B:AZ,13,FALSE),"[hh]:mm")," Uhr "),"")), IF(VLOOKUP(B395,Aug!B:AZ,6,FALSE)="","",VLOOKUP(VLOOKUP(B395,Aug!B:AZ,6,FALSE),Legende_Code,2,FALSE)))</f>
        <v/>
      </c>
      <c r="E395" s="16" t="str">
        <f>IF(AND(VLOOKUP(B395,Aug!B:AZ,6,FALSE)="", WEEKDAY(B395,2)=6,VLOOKUP(B395,Aug!B:AZ,48,FALSE)&gt;0),VLOOKUP(B395,Aug!B:AZ,48,FALSE)*24,"")</f>
        <v/>
      </c>
      <c r="F395" s="16" t="str">
        <f>IF(AND(VLOOKUP(B395,Aug!B:AZ,6,FALSE)="", WEEKDAY(B395,2)=7,VLOOKUP(B395,Aug!B:AZ,49,FALSE)&gt;0),VLOOKUP(B395,Aug!B:AZ,49,FALSE)*24,"")</f>
        <v/>
      </c>
      <c r="G395" s="16" t="str">
        <f>IF(AND(VLOOKUP(B395,Aug!B:AZ,6,FALSE)="",VLOOKUP(B395,Aug!B:AZ,46,FALSE)&gt;0),VLOOKUP(B395,Aug!B:AZ,46,FALSE)*24,"")</f>
        <v/>
      </c>
      <c r="H395" s="36" t="str">
        <f>IF(AND(VLOOKUP(B395,Aug!B:AZ,6,FALSE)="",VLOOKUP(B395,Aug!B:AZ,50,FALSE)&gt;0),VLOOKUP(B395,Aug!B:AZ,50,FALSE)*24,"")</f>
        <v/>
      </c>
      <c r="I395" s="30" t="str">
        <f>IF(AND(NETWORKDAYS(B395,B395,Feiertage)=1,VLOOKUP(B395,Aug!B:AZ,6,FALSE)="U"),"Urlaub","")</f>
        <v/>
      </c>
      <c r="J395" s="34" t="str">
        <f ca="1">IF(AND(VLOOKUP(B395,Aug!B:AZ,6,FALSE)="",VLOOKUP(B395,Aug!B:AZ,22,FALSE)&lt;0),"Absetzen von","")</f>
        <v/>
      </c>
      <c r="K395" s="263"/>
      <c r="M395" s="316" t="str">
        <f ca="1">IF(VLOOKUP(B395,Aug!B:AZ,22,FALSE)&lt;&gt;0,VLOOKUP(B395,Aug!B:AZ,22,FALSE),"")</f>
        <v/>
      </c>
      <c r="N395" s="327"/>
    </row>
    <row r="396" spans="2:14" x14ac:dyDescent="0.25">
      <c r="B396" s="245">
        <f>Aug!F26</f>
        <v>42234</v>
      </c>
      <c r="C396" s="35">
        <f t="shared" si="4"/>
        <v>42234</v>
      </c>
      <c r="D396" s="17" t="str">
        <f>IF(AND(VLOOKUP(B396,Aug!B:AZ,8,FALSE)&gt;0,VLOOKUP(B396,Aug!B:AZ,6,FALSE)=""), CONCATENATE(TEXT(VLOOKUP(B396,Aug!B:AZ,7,FALSE),"hh:mm"), "-", TEXT(VLOOKUP(B396,Aug!B:AZ,8,FALSE),"[hh]:mm")," Uhr ", IF(VLOOKUP(B396,Aug!B:AZ,12,FALSE)&gt;0, CONCATENATE("und ",TEXT(VLOOKUP(B396,Aug!B:AZ,12,FALSE),"hh:mm"), "-", TEXT(VLOOKUP(B396,Aug!B:AZ,13,FALSE),"[hh]:mm")," Uhr "),"")), IF(VLOOKUP(B396,Aug!B:AZ,6,FALSE)="","",VLOOKUP(VLOOKUP(B396,Aug!B:AZ,6,FALSE),Legende_Code,2,FALSE)))</f>
        <v/>
      </c>
      <c r="E396" s="16" t="str">
        <f>IF(AND(VLOOKUP(B396,Aug!B:AZ,6,FALSE)="", WEEKDAY(B396,2)=6,VLOOKUP(B396,Aug!B:AZ,48,FALSE)&gt;0),VLOOKUP(B396,Aug!B:AZ,48,FALSE)*24,"")</f>
        <v/>
      </c>
      <c r="F396" s="16" t="str">
        <f>IF(AND(VLOOKUP(B396,Aug!B:AZ,6,FALSE)="", WEEKDAY(B396,2)=7,VLOOKUP(B396,Aug!B:AZ,49,FALSE)&gt;0),VLOOKUP(B396,Aug!B:AZ,49,FALSE)*24,"")</f>
        <v/>
      </c>
      <c r="G396" s="16" t="str">
        <f>IF(AND(VLOOKUP(B396,Aug!B:AZ,6,FALSE)="",VLOOKUP(B396,Aug!B:AZ,46,FALSE)&gt;0),VLOOKUP(B396,Aug!B:AZ,46,FALSE)*24,"")</f>
        <v/>
      </c>
      <c r="H396" s="36" t="str">
        <f>IF(AND(VLOOKUP(B396,Aug!B:AZ,6,FALSE)="",VLOOKUP(B396,Aug!B:AZ,50,FALSE)&gt;0),VLOOKUP(B396,Aug!B:AZ,50,FALSE)*24,"")</f>
        <v/>
      </c>
      <c r="I396" s="30" t="str">
        <f>IF(AND(NETWORKDAYS(B396,B396,Feiertage)=1,VLOOKUP(B396,Aug!B:AZ,6,FALSE)="U"),"Urlaub","")</f>
        <v/>
      </c>
      <c r="J396" s="34" t="str">
        <f ca="1">IF(AND(VLOOKUP(B396,Aug!B:AZ,6,FALSE)="",VLOOKUP(B396,Aug!B:AZ,22,FALSE)&lt;0),"Absetzen von","")</f>
        <v/>
      </c>
      <c r="K396" s="263"/>
      <c r="M396" s="316" t="str">
        <f ca="1">IF(VLOOKUP(B396,Aug!B:AZ,22,FALSE)&lt;&gt;0,VLOOKUP(B396,Aug!B:AZ,22,FALSE),"")</f>
        <v/>
      </c>
      <c r="N396" s="327"/>
    </row>
    <row r="397" spans="2:14" x14ac:dyDescent="0.25">
      <c r="B397" s="245">
        <f>Aug!F27</f>
        <v>42235</v>
      </c>
      <c r="C397" s="35">
        <f t="shared" ref="C397:C483" si="5">B397</f>
        <v>42235</v>
      </c>
      <c r="D397" s="17" t="str">
        <f>IF(AND(VLOOKUP(B397,Aug!B:AZ,8,FALSE)&gt;0,VLOOKUP(B397,Aug!B:AZ,6,FALSE)=""), CONCATENATE(TEXT(VLOOKUP(B397,Aug!B:AZ,7,FALSE),"hh:mm"), "-", TEXT(VLOOKUP(B397,Aug!B:AZ,8,FALSE),"[hh]:mm")," Uhr ", IF(VLOOKUP(B397,Aug!B:AZ,12,FALSE)&gt;0, CONCATENATE("und ",TEXT(VLOOKUP(B397,Aug!B:AZ,12,FALSE),"hh:mm"), "-", TEXT(VLOOKUP(B397,Aug!B:AZ,13,FALSE),"[hh]:mm")," Uhr "),"")), IF(VLOOKUP(B397,Aug!B:AZ,6,FALSE)="","",VLOOKUP(VLOOKUP(B397,Aug!B:AZ,6,FALSE),Legende_Code,2,FALSE)))</f>
        <v/>
      </c>
      <c r="E397" s="16" t="str">
        <f>IF(AND(VLOOKUP(B397,Aug!B:AZ,6,FALSE)="", WEEKDAY(B397,2)=6,VLOOKUP(B397,Aug!B:AZ,48,FALSE)&gt;0),VLOOKUP(B397,Aug!B:AZ,48,FALSE)*24,"")</f>
        <v/>
      </c>
      <c r="F397" s="16" t="str">
        <f>IF(AND(VLOOKUP(B397,Aug!B:AZ,6,FALSE)="", WEEKDAY(B397,2)=7,VLOOKUP(B397,Aug!B:AZ,49,FALSE)&gt;0),VLOOKUP(B397,Aug!B:AZ,49,FALSE)*24,"")</f>
        <v/>
      </c>
      <c r="G397" s="16" t="str">
        <f>IF(AND(VLOOKUP(B397,Aug!B:AZ,6,FALSE)="",VLOOKUP(B397,Aug!B:AZ,46,FALSE)&gt;0),VLOOKUP(B397,Aug!B:AZ,46,FALSE)*24,"")</f>
        <v/>
      </c>
      <c r="H397" s="36" t="str">
        <f>IF(AND(VLOOKUP(B397,Aug!B:AZ,6,FALSE)="",VLOOKUP(B397,Aug!B:AZ,50,FALSE)&gt;0),VLOOKUP(B397,Aug!B:AZ,50,FALSE)*24,"")</f>
        <v/>
      </c>
      <c r="I397" s="30" t="str">
        <f>IF(AND(NETWORKDAYS(B397,B397,Feiertage)=1,VLOOKUP(B397,Aug!B:AZ,6,FALSE)="U"),"Urlaub","")</f>
        <v/>
      </c>
      <c r="J397" s="34" t="str">
        <f ca="1">IF(AND(VLOOKUP(B397,Aug!B:AZ,6,FALSE)="",VLOOKUP(B397,Aug!B:AZ,22,FALSE)&lt;0),"Absetzen von","")</f>
        <v/>
      </c>
      <c r="K397" s="263"/>
      <c r="M397" s="316" t="str">
        <f ca="1">IF(VLOOKUP(B397,Aug!B:AZ,22,FALSE)&lt;&gt;0,VLOOKUP(B397,Aug!B:AZ,22,FALSE),"")</f>
        <v/>
      </c>
      <c r="N397" s="327"/>
    </row>
    <row r="398" spans="2:14" x14ac:dyDescent="0.25">
      <c r="B398" s="245">
        <f>Aug!F28</f>
        <v>42236</v>
      </c>
      <c r="C398" s="35">
        <f t="shared" si="5"/>
        <v>42236</v>
      </c>
      <c r="D398" s="17" t="str">
        <f>IF(AND(VLOOKUP(B398,Aug!B:AZ,8,FALSE)&gt;0,VLOOKUP(B398,Aug!B:AZ,6,FALSE)=""), CONCATENATE(TEXT(VLOOKUP(B398,Aug!B:AZ,7,FALSE),"hh:mm"), "-", TEXT(VLOOKUP(B398,Aug!B:AZ,8,FALSE),"[hh]:mm")," Uhr ", IF(VLOOKUP(B398,Aug!B:AZ,12,FALSE)&gt;0, CONCATENATE("und ",TEXT(VLOOKUP(B398,Aug!B:AZ,12,FALSE),"hh:mm"), "-", TEXT(VLOOKUP(B398,Aug!B:AZ,13,FALSE),"[hh]:mm")," Uhr "),"")), IF(VLOOKUP(B398,Aug!B:AZ,6,FALSE)="","",VLOOKUP(VLOOKUP(B398,Aug!B:AZ,6,FALSE),Legende_Code,2,FALSE)))</f>
        <v/>
      </c>
      <c r="E398" s="16" t="str">
        <f>IF(AND(VLOOKUP(B398,Aug!B:AZ,6,FALSE)="", WEEKDAY(B398,2)=6,VLOOKUP(B398,Aug!B:AZ,48,FALSE)&gt;0),VLOOKUP(B398,Aug!B:AZ,48,FALSE)*24,"")</f>
        <v/>
      </c>
      <c r="F398" s="16" t="str">
        <f>IF(AND(VLOOKUP(B398,Aug!B:AZ,6,FALSE)="", WEEKDAY(B398,2)=7,VLOOKUP(B398,Aug!B:AZ,49,FALSE)&gt;0),VLOOKUP(B398,Aug!B:AZ,49,FALSE)*24,"")</f>
        <v/>
      </c>
      <c r="G398" s="16" t="str">
        <f>IF(AND(VLOOKUP(B398,Aug!B:AZ,6,FALSE)="",VLOOKUP(B398,Aug!B:AZ,46,FALSE)&gt;0),VLOOKUP(B398,Aug!B:AZ,46,FALSE)*24,"")</f>
        <v/>
      </c>
      <c r="H398" s="36" t="str">
        <f>IF(AND(VLOOKUP(B398,Aug!B:AZ,6,FALSE)="",VLOOKUP(B398,Aug!B:AZ,50,FALSE)&gt;0),VLOOKUP(B398,Aug!B:AZ,50,FALSE)*24,"")</f>
        <v/>
      </c>
      <c r="I398" s="30" t="str">
        <f>IF(AND(NETWORKDAYS(B398,B398,Feiertage)=1,VLOOKUP(B398,Aug!B:AZ,6,FALSE)="U"),"Urlaub","")</f>
        <v/>
      </c>
      <c r="J398" s="34" t="str">
        <f ca="1">IF(AND(VLOOKUP(B398,Aug!B:AZ,6,FALSE)="",VLOOKUP(B398,Aug!B:AZ,22,FALSE)&lt;0),"Absetzen von","")</f>
        <v/>
      </c>
      <c r="K398" s="263"/>
      <c r="M398" s="316" t="str">
        <f ca="1">IF(VLOOKUP(B398,Aug!B:AZ,22,FALSE)&lt;&gt;0,VLOOKUP(B398,Aug!B:AZ,22,FALSE),"")</f>
        <v/>
      </c>
      <c r="N398" s="327"/>
    </row>
    <row r="399" spans="2:14" x14ac:dyDescent="0.25">
      <c r="B399" s="245">
        <f>Aug!F29</f>
        <v>42237</v>
      </c>
      <c r="C399" s="35">
        <f t="shared" si="5"/>
        <v>42237</v>
      </c>
      <c r="D399" s="17" t="str">
        <f>IF(AND(VLOOKUP(B399,Aug!B:AZ,8,FALSE)&gt;0,VLOOKUP(B399,Aug!B:AZ,6,FALSE)=""), CONCATENATE(TEXT(VLOOKUP(B399,Aug!B:AZ,7,FALSE),"hh:mm"), "-", TEXT(VLOOKUP(B399,Aug!B:AZ,8,FALSE),"[hh]:mm")," Uhr ", IF(VLOOKUP(B399,Aug!B:AZ,12,FALSE)&gt;0, CONCATENATE("und ",TEXT(VLOOKUP(B399,Aug!B:AZ,12,FALSE),"hh:mm"), "-", TEXT(VLOOKUP(B399,Aug!B:AZ,13,FALSE),"[hh]:mm")," Uhr "),"")), IF(VLOOKUP(B399,Aug!B:AZ,6,FALSE)="","",VLOOKUP(VLOOKUP(B399,Aug!B:AZ,6,FALSE),Legende_Code,2,FALSE)))</f>
        <v/>
      </c>
      <c r="E399" s="16" t="str">
        <f>IF(AND(VLOOKUP(B399,Aug!B:AZ,6,FALSE)="", WEEKDAY(B399,2)=6,VLOOKUP(B399,Aug!B:AZ,48,FALSE)&gt;0),VLOOKUP(B399,Aug!B:AZ,48,FALSE)*24,"")</f>
        <v/>
      </c>
      <c r="F399" s="16" t="str">
        <f>IF(AND(VLOOKUP(B399,Aug!B:AZ,6,FALSE)="", WEEKDAY(B399,2)=7,VLOOKUP(B399,Aug!B:AZ,49,FALSE)&gt;0),VLOOKUP(B399,Aug!B:AZ,49,FALSE)*24,"")</f>
        <v/>
      </c>
      <c r="G399" s="16" t="str">
        <f>IF(AND(VLOOKUP(B399,Aug!B:AZ,6,FALSE)="",VLOOKUP(B399,Aug!B:AZ,46,FALSE)&gt;0),VLOOKUP(B399,Aug!B:AZ,46,FALSE)*24,"")</f>
        <v/>
      </c>
      <c r="H399" s="36" t="str">
        <f>IF(AND(VLOOKUP(B399,Aug!B:AZ,6,FALSE)="",VLOOKUP(B399,Aug!B:AZ,50,FALSE)&gt;0),VLOOKUP(B399,Aug!B:AZ,50,FALSE)*24,"")</f>
        <v/>
      </c>
      <c r="I399" s="30" t="str">
        <f>IF(AND(NETWORKDAYS(B399,B399,Feiertage)=1,VLOOKUP(B399,Aug!B:AZ,6,FALSE)="U"),"Urlaub","")</f>
        <v/>
      </c>
      <c r="J399" s="34" t="str">
        <f ca="1">IF(AND(VLOOKUP(B399,Aug!B:AZ,6,FALSE)="",VLOOKUP(B399,Aug!B:AZ,22,FALSE)&lt;0),"Absetzen von","")</f>
        <v/>
      </c>
      <c r="K399" s="263"/>
      <c r="M399" s="316" t="str">
        <f ca="1">IF(VLOOKUP(B399,Aug!B:AZ,22,FALSE)&lt;&gt;0,VLOOKUP(B399,Aug!B:AZ,22,FALSE),"")</f>
        <v/>
      </c>
      <c r="N399" s="327"/>
    </row>
    <row r="400" spans="2:14" x14ac:dyDescent="0.25">
      <c r="B400" s="245">
        <f>Aug!F30</f>
        <v>42238</v>
      </c>
      <c r="C400" s="35">
        <f t="shared" si="5"/>
        <v>42238</v>
      </c>
      <c r="D400" s="17" t="str">
        <f>IF(AND(VLOOKUP(B400,Aug!B:AZ,8,FALSE)&gt;0,VLOOKUP(B400,Aug!B:AZ,6,FALSE)=""), CONCATENATE(TEXT(VLOOKUP(B400,Aug!B:AZ,7,FALSE),"hh:mm"), "-", TEXT(VLOOKUP(B400,Aug!B:AZ,8,FALSE),"[hh]:mm")," Uhr ", IF(VLOOKUP(B400,Aug!B:AZ,12,FALSE)&gt;0, CONCATENATE("und ",TEXT(VLOOKUP(B400,Aug!B:AZ,12,FALSE),"hh:mm"), "-", TEXT(VLOOKUP(B400,Aug!B:AZ,13,FALSE),"[hh]:mm")," Uhr "),"")), IF(VLOOKUP(B400,Aug!B:AZ,6,FALSE)="","",VLOOKUP(VLOOKUP(B400,Aug!B:AZ,6,FALSE),Legende_Code,2,FALSE)))</f>
        <v/>
      </c>
      <c r="E400" s="16" t="str">
        <f>IF(AND(VLOOKUP(B400,Aug!B:AZ,6,FALSE)="", WEEKDAY(B400,2)=6,VLOOKUP(B400,Aug!B:AZ,48,FALSE)&gt;0),VLOOKUP(B400,Aug!B:AZ,48,FALSE)*24,"")</f>
        <v/>
      </c>
      <c r="F400" s="16" t="str">
        <f>IF(AND(VLOOKUP(B400,Aug!B:AZ,6,FALSE)="", WEEKDAY(B400,2)=7,VLOOKUP(B400,Aug!B:AZ,49,FALSE)&gt;0),VLOOKUP(B400,Aug!B:AZ,49,FALSE)*24,"")</f>
        <v/>
      </c>
      <c r="G400" s="16" t="str">
        <f>IF(AND(VLOOKUP(B400,Aug!B:AZ,6,FALSE)="",VLOOKUP(B400,Aug!B:AZ,46,FALSE)&gt;0),VLOOKUP(B400,Aug!B:AZ,46,FALSE)*24,"")</f>
        <v/>
      </c>
      <c r="H400" s="36" t="str">
        <f>IF(AND(VLOOKUP(B400,Aug!B:AZ,6,FALSE)="",VLOOKUP(B400,Aug!B:AZ,50,FALSE)&gt;0),VLOOKUP(B400,Aug!B:AZ,50,FALSE)*24,"")</f>
        <v/>
      </c>
      <c r="I400" s="30" t="str">
        <f>IF(AND(NETWORKDAYS(B400,B400,Feiertage)=1,VLOOKUP(B400,Aug!B:AZ,6,FALSE)="U"),"Urlaub","")</f>
        <v/>
      </c>
      <c r="J400" s="34" t="str">
        <f ca="1">IF(AND(VLOOKUP(B400,Aug!B:AZ,6,FALSE)="",VLOOKUP(B400,Aug!B:AZ,22,FALSE)&lt;0),"Absetzen von","")</f>
        <v/>
      </c>
      <c r="K400" s="263"/>
      <c r="M400" s="316" t="str">
        <f ca="1">IF(VLOOKUP(B400,Aug!B:AZ,22,FALSE)&lt;&gt;0,VLOOKUP(B400,Aug!B:AZ,22,FALSE),"")</f>
        <v/>
      </c>
      <c r="N400" s="327"/>
    </row>
    <row r="401" spans="2:14" x14ac:dyDescent="0.25">
      <c r="B401" s="245">
        <f>Aug!F31</f>
        <v>42239</v>
      </c>
      <c r="C401" s="35">
        <f t="shared" si="5"/>
        <v>42239</v>
      </c>
      <c r="D401" s="17" t="str">
        <f>IF(AND(VLOOKUP(B401,Aug!B:AZ,8,FALSE)&gt;0,VLOOKUP(B401,Aug!B:AZ,6,FALSE)=""), CONCATENATE(TEXT(VLOOKUP(B401,Aug!B:AZ,7,FALSE),"hh:mm"), "-", TEXT(VLOOKUP(B401,Aug!B:AZ,8,FALSE),"[hh]:mm")," Uhr ", IF(VLOOKUP(B401,Aug!B:AZ,12,FALSE)&gt;0, CONCATENATE("und ",TEXT(VLOOKUP(B401,Aug!B:AZ,12,FALSE),"hh:mm"), "-", TEXT(VLOOKUP(B401,Aug!B:AZ,13,FALSE),"[hh]:mm")," Uhr "),"")), IF(VLOOKUP(B401,Aug!B:AZ,6,FALSE)="","",VLOOKUP(VLOOKUP(B401,Aug!B:AZ,6,FALSE),Legende_Code,2,FALSE)))</f>
        <v/>
      </c>
      <c r="E401" s="16" t="str">
        <f>IF(AND(VLOOKUP(B401,Aug!B:AZ,6,FALSE)="", WEEKDAY(B401,2)=6,VLOOKUP(B401,Aug!B:AZ,48,FALSE)&gt;0),VLOOKUP(B401,Aug!B:AZ,48,FALSE)*24,"")</f>
        <v/>
      </c>
      <c r="F401" s="16" t="str">
        <f>IF(AND(VLOOKUP(B401,Aug!B:AZ,6,FALSE)="", WEEKDAY(B401,2)=7,VLOOKUP(B401,Aug!B:AZ,49,FALSE)&gt;0),VLOOKUP(B401,Aug!B:AZ,49,FALSE)*24,"")</f>
        <v/>
      </c>
      <c r="G401" s="16" t="str">
        <f>IF(AND(VLOOKUP(B401,Aug!B:AZ,6,FALSE)="",VLOOKUP(B401,Aug!B:AZ,46,FALSE)&gt;0),VLOOKUP(B401,Aug!B:AZ,46,FALSE)*24,"")</f>
        <v/>
      </c>
      <c r="H401" s="36" t="str">
        <f>IF(AND(VLOOKUP(B401,Aug!B:AZ,6,FALSE)="",VLOOKUP(B401,Aug!B:AZ,50,FALSE)&gt;0),VLOOKUP(B401,Aug!B:AZ,50,FALSE)*24,"")</f>
        <v/>
      </c>
      <c r="I401" s="30" t="str">
        <f>IF(AND(NETWORKDAYS(B401,B401,Feiertage)=1,VLOOKUP(B401,Aug!B:AZ,6,FALSE)="U"),"Urlaub","")</f>
        <v/>
      </c>
      <c r="J401" s="34" t="str">
        <f ca="1">IF(AND(VLOOKUP(B401,Aug!B:AZ,6,FALSE)="",VLOOKUP(B401,Aug!B:AZ,22,FALSE)&lt;0),"Absetzen von","")</f>
        <v/>
      </c>
      <c r="K401" s="263"/>
      <c r="M401" s="316" t="str">
        <f ca="1">IF(VLOOKUP(B401,Aug!B:AZ,22,FALSE)&lt;&gt;0,VLOOKUP(B401,Aug!B:AZ,22,FALSE),"")</f>
        <v/>
      </c>
      <c r="N401" s="327"/>
    </row>
    <row r="402" spans="2:14" x14ac:dyDescent="0.25">
      <c r="B402" s="245">
        <f>Aug!F32</f>
        <v>42240</v>
      </c>
      <c r="C402" s="35">
        <f t="shared" si="5"/>
        <v>42240</v>
      </c>
      <c r="D402" s="17" t="str">
        <f>IF(AND(VLOOKUP(B402,Aug!B:AZ,8,FALSE)&gt;0,VLOOKUP(B402,Aug!B:AZ,6,FALSE)=""), CONCATENATE(TEXT(VLOOKUP(B402,Aug!B:AZ,7,FALSE),"hh:mm"), "-", TEXT(VLOOKUP(B402,Aug!B:AZ,8,FALSE),"[hh]:mm")," Uhr ", IF(VLOOKUP(B402,Aug!B:AZ,12,FALSE)&gt;0, CONCATENATE("und ",TEXT(VLOOKUP(B402,Aug!B:AZ,12,FALSE),"hh:mm"), "-", TEXT(VLOOKUP(B402,Aug!B:AZ,13,FALSE),"[hh]:mm")," Uhr "),"")), IF(VLOOKUP(B402,Aug!B:AZ,6,FALSE)="","",VLOOKUP(VLOOKUP(B402,Aug!B:AZ,6,FALSE),Legende_Code,2,FALSE)))</f>
        <v/>
      </c>
      <c r="E402" s="16" t="str">
        <f>IF(AND(VLOOKUP(B402,Aug!B:AZ,6,FALSE)="", WEEKDAY(B402,2)=6,VLOOKUP(B402,Aug!B:AZ,48,FALSE)&gt;0),VLOOKUP(B402,Aug!B:AZ,48,FALSE)*24,"")</f>
        <v/>
      </c>
      <c r="F402" s="16" t="str">
        <f>IF(AND(VLOOKUP(B402,Aug!B:AZ,6,FALSE)="", WEEKDAY(B402,2)=7,VLOOKUP(B402,Aug!B:AZ,49,FALSE)&gt;0),VLOOKUP(B402,Aug!B:AZ,49,FALSE)*24,"")</f>
        <v/>
      </c>
      <c r="G402" s="16" t="str">
        <f>IF(AND(VLOOKUP(B402,Aug!B:AZ,6,FALSE)="",VLOOKUP(B402,Aug!B:AZ,46,FALSE)&gt;0),VLOOKUP(B402,Aug!B:AZ,46,FALSE)*24,"")</f>
        <v/>
      </c>
      <c r="H402" s="36" t="str">
        <f>IF(AND(VLOOKUP(B402,Aug!B:AZ,6,FALSE)="",VLOOKUP(B402,Aug!B:AZ,50,FALSE)&gt;0),VLOOKUP(B402,Aug!B:AZ,50,FALSE)*24,"")</f>
        <v/>
      </c>
      <c r="I402" s="30" t="str">
        <f>IF(AND(NETWORKDAYS(B402,B402,Feiertage)=1,VLOOKUP(B402,Aug!B:AZ,6,FALSE)="U"),"Urlaub","")</f>
        <v/>
      </c>
      <c r="J402" s="34" t="str">
        <f ca="1">IF(AND(VLOOKUP(B402,Aug!B:AZ,6,FALSE)="",VLOOKUP(B402,Aug!B:AZ,22,FALSE)&lt;0),"Absetzen von","")</f>
        <v/>
      </c>
      <c r="K402" s="263"/>
      <c r="M402" s="316" t="str">
        <f ca="1">IF(VLOOKUP(B402,Aug!B:AZ,22,FALSE)&lt;&gt;0,VLOOKUP(B402,Aug!B:AZ,22,FALSE),"")</f>
        <v/>
      </c>
      <c r="N402" s="327"/>
    </row>
    <row r="403" spans="2:14" x14ac:dyDescent="0.25">
      <c r="B403" s="245">
        <f>Aug!F33</f>
        <v>42241</v>
      </c>
      <c r="C403" s="35">
        <f t="shared" si="5"/>
        <v>42241</v>
      </c>
      <c r="D403" s="17" t="str">
        <f>IF(AND(VLOOKUP(B403,Aug!B:AZ,8,FALSE)&gt;0,VLOOKUP(B403,Aug!B:AZ,6,FALSE)=""), CONCATENATE(TEXT(VLOOKUP(B403,Aug!B:AZ,7,FALSE),"hh:mm"), "-", TEXT(VLOOKUP(B403,Aug!B:AZ,8,FALSE),"[hh]:mm")," Uhr ", IF(VLOOKUP(B403,Aug!B:AZ,12,FALSE)&gt;0, CONCATENATE("und ",TEXT(VLOOKUP(B403,Aug!B:AZ,12,FALSE),"hh:mm"), "-", TEXT(VLOOKUP(B403,Aug!B:AZ,13,FALSE),"[hh]:mm")," Uhr "),"")), IF(VLOOKUP(B403,Aug!B:AZ,6,FALSE)="","",VLOOKUP(VLOOKUP(B403,Aug!B:AZ,6,FALSE),Legende_Code,2,FALSE)))</f>
        <v/>
      </c>
      <c r="E403" s="16" t="str">
        <f>IF(AND(VLOOKUP(B403,Aug!B:AZ,6,FALSE)="", WEEKDAY(B403,2)=6,VLOOKUP(B403,Aug!B:AZ,48,FALSE)&gt;0),VLOOKUP(B403,Aug!B:AZ,48,FALSE)*24,"")</f>
        <v/>
      </c>
      <c r="F403" s="16" t="str">
        <f>IF(AND(VLOOKUP(B403,Aug!B:AZ,6,FALSE)="", WEEKDAY(B403,2)=7,VLOOKUP(B403,Aug!B:AZ,49,FALSE)&gt;0),VLOOKUP(B403,Aug!B:AZ,49,FALSE)*24,"")</f>
        <v/>
      </c>
      <c r="G403" s="16" t="str">
        <f>IF(AND(VLOOKUP(B403,Aug!B:AZ,6,FALSE)="",VLOOKUP(B403,Aug!B:AZ,46,FALSE)&gt;0),VLOOKUP(B403,Aug!B:AZ,46,FALSE)*24,"")</f>
        <v/>
      </c>
      <c r="H403" s="36" t="str">
        <f>IF(AND(VLOOKUP(B403,Aug!B:AZ,6,FALSE)="",VLOOKUP(B403,Aug!B:AZ,50,FALSE)&gt;0),VLOOKUP(B403,Aug!B:AZ,50,FALSE)*24,"")</f>
        <v/>
      </c>
      <c r="I403" s="30" t="str">
        <f>IF(AND(NETWORKDAYS(B403,B403,Feiertage)=1,VLOOKUP(B403,Aug!B:AZ,6,FALSE)="U"),"Urlaub","")</f>
        <v/>
      </c>
      <c r="J403" s="34" t="str">
        <f ca="1">IF(AND(VLOOKUP(B403,Aug!B:AZ,6,FALSE)="",VLOOKUP(B403,Aug!B:AZ,22,FALSE)&lt;0),"Absetzen von","")</f>
        <v/>
      </c>
      <c r="K403" s="263"/>
      <c r="M403" s="316" t="str">
        <f ca="1">IF(VLOOKUP(B403,Aug!B:AZ,22,FALSE)&lt;&gt;0,VLOOKUP(B403,Aug!B:AZ,22,FALSE),"")</f>
        <v/>
      </c>
      <c r="N403" s="327"/>
    </row>
    <row r="404" spans="2:14" x14ac:dyDescent="0.25">
      <c r="B404" s="245">
        <f>Aug!F34</f>
        <v>42242</v>
      </c>
      <c r="C404" s="35">
        <f t="shared" si="5"/>
        <v>42242</v>
      </c>
      <c r="D404" s="17" t="str">
        <f>IF(AND(VLOOKUP(B404,Aug!B:AZ,8,FALSE)&gt;0,VLOOKUP(B404,Aug!B:AZ,6,FALSE)=""), CONCATENATE(TEXT(VLOOKUP(B404,Aug!B:AZ,7,FALSE),"hh:mm"), "-", TEXT(VLOOKUP(B404,Aug!B:AZ,8,FALSE),"[hh]:mm")," Uhr ", IF(VLOOKUP(B404,Aug!B:AZ,12,FALSE)&gt;0, CONCATENATE("und ",TEXT(VLOOKUP(B404,Aug!B:AZ,12,FALSE),"hh:mm"), "-", TEXT(VLOOKUP(B404,Aug!B:AZ,13,FALSE),"[hh]:mm")," Uhr "),"")), IF(VLOOKUP(B404,Aug!B:AZ,6,FALSE)="","",VLOOKUP(VLOOKUP(B404,Aug!B:AZ,6,FALSE),Legende_Code,2,FALSE)))</f>
        <v/>
      </c>
      <c r="E404" s="16" t="str">
        <f>IF(AND(VLOOKUP(B404,Aug!B:AZ,6,FALSE)="", WEEKDAY(B404,2)=6,VLOOKUP(B404,Aug!B:AZ,48,FALSE)&gt;0),VLOOKUP(B404,Aug!B:AZ,48,FALSE)*24,"")</f>
        <v/>
      </c>
      <c r="F404" s="16" t="str">
        <f>IF(AND(VLOOKUP(B404,Aug!B:AZ,6,FALSE)="", WEEKDAY(B404,2)=7,VLOOKUP(B404,Aug!B:AZ,49,FALSE)&gt;0),VLOOKUP(B404,Aug!B:AZ,49,FALSE)*24,"")</f>
        <v/>
      </c>
      <c r="G404" s="16" t="str">
        <f>IF(AND(VLOOKUP(B404,Aug!B:AZ,6,FALSE)="",VLOOKUP(B404,Aug!B:AZ,46,FALSE)&gt;0),VLOOKUP(B404,Aug!B:AZ,46,FALSE)*24,"")</f>
        <v/>
      </c>
      <c r="H404" s="36" t="str">
        <f>IF(AND(VLOOKUP(B404,Aug!B:AZ,6,FALSE)="",VLOOKUP(B404,Aug!B:AZ,50,FALSE)&gt;0),VLOOKUP(B404,Aug!B:AZ,50,FALSE)*24,"")</f>
        <v/>
      </c>
      <c r="I404" s="30" t="str">
        <f>IF(AND(NETWORKDAYS(B404,B404,Feiertage)=1,VLOOKUP(B404,Aug!B:AZ,6,FALSE)="U"),"Urlaub","")</f>
        <v/>
      </c>
      <c r="J404" s="34" t="str">
        <f ca="1">IF(AND(VLOOKUP(B404,Aug!B:AZ,6,FALSE)="",VLOOKUP(B404,Aug!B:AZ,22,FALSE)&lt;0),"Absetzen von","")</f>
        <v/>
      </c>
      <c r="K404" s="263"/>
      <c r="M404" s="316" t="str">
        <f ca="1">IF(VLOOKUP(B404,Aug!B:AZ,22,FALSE)&lt;&gt;0,VLOOKUP(B404,Aug!B:AZ,22,FALSE),"")</f>
        <v/>
      </c>
      <c r="N404" s="327"/>
    </row>
    <row r="405" spans="2:14" x14ac:dyDescent="0.25">
      <c r="B405" s="245">
        <f>Aug!F35</f>
        <v>42243</v>
      </c>
      <c r="C405" s="35">
        <f t="shared" si="5"/>
        <v>42243</v>
      </c>
      <c r="D405" s="17" t="str">
        <f>IF(AND(VLOOKUP(B405,Aug!B:AZ,8,FALSE)&gt;0,VLOOKUP(B405,Aug!B:AZ,6,FALSE)=""), CONCATENATE(TEXT(VLOOKUP(B405,Aug!B:AZ,7,FALSE),"hh:mm"), "-", TEXT(VLOOKUP(B405,Aug!B:AZ,8,FALSE),"[hh]:mm")," Uhr ", IF(VLOOKUP(B405,Aug!B:AZ,12,FALSE)&gt;0, CONCATENATE("und ",TEXT(VLOOKUP(B405,Aug!B:AZ,12,FALSE),"hh:mm"), "-", TEXT(VLOOKUP(B405,Aug!B:AZ,13,FALSE),"[hh]:mm")," Uhr "),"")), IF(VLOOKUP(B405,Aug!B:AZ,6,FALSE)="","",VLOOKUP(VLOOKUP(B405,Aug!B:AZ,6,FALSE),Legende_Code,2,FALSE)))</f>
        <v/>
      </c>
      <c r="E405" s="16" t="str">
        <f>IF(AND(VLOOKUP(B405,Aug!B:AZ,6,FALSE)="", WEEKDAY(B405,2)=6,VLOOKUP(B405,Aug!B:AZ,48,FALSE)&gt;0),VLOOKUP(B405,Aug!B:AZ,48,FALSE)*24,"")</f>
        <v/>
      </c>
      <c r="F405" s="16" t="str">
        <f>IF(AND(VLOOKUP(B405,Aug!B:AZ,6,FALSE)="", WEEKDAY(B405,2)=7,VLOOKUP(B405,Aug!B:AZ,49,FALSE)&gt;0),VLOOKUP(B405,Aug!B:AZ,49,FALSE)*24,"")</f>
        <v/>
      </c>
      <c r="G405" s="16" t="str">
        <f>IF(AND(VLOOKUP(B405,Aug!B:AZ,6,FALSE)="",VLOOKUP(B405,Aug!B:AZ,46,FALSE)&gt;0),VLOOKUP(B405,Aug!B:AZ,46,FALSE)*24,"")</f>
        <v/>
      </c>
      <c r="H405" s="36" t="str">
        <f>IF(AND(VLOOKUP(B405,Aug!B:AZ,6,FALSE)="",VLOOKUP(B405,Aug!B:AZ,50,FALSE)&gt;0),VLOOKUP(B405,Aug!B:AZ,50,FALSE)*24,"")</f>
        <v/>
      </c>
      <c r="I405" s="30" t="str">
        <f>IF(AND(NETWORKDAYS(B405,B405,Feiertage)=1,VLOOKUP(B405,Aug!B:AZ,6,FALSE)="U"),"Urlaub","")</f>
        <v/>
      </c>
      <c r="J405" s="34" t="str">
        <f ca="1">IF(AND(VLOOKUP(B405,Aug!B:AZ,6,FALSE)="",VLOOKUP(B405,Aug!B:AZ,22,FALSE)&lt;0),"Absetzen von","")</f>
        <v/>
      </c>
      <c r="K405" s="263"/>
      <c r="M405" s="316" t="str">
        <f ca="1">IF(VLOOKUP(B405,Aug!B:AZ,22,FALSE)&lt;&gt;0,VLOOKUP(B405,Aug!B:AZ,22,FALSE),"")</f>
        <v/>
      </c>
      <c r="N405" s="327"/>
    </row>
    <row r="406" spans="2:14" x14ac:dyDescent="0.25">
      <c r="B406" s="245">
        <f>Aug!F36</f>
        <v>42244</v>
      </c>
      <c r="C406" s="35">
        <f t="shared" si="5"/>
        <v>42244</v>
      </c>
      <c r="D406" s="17" t="str">
        <f>IF(AND(VLOOKUP(B406,Aug!B:AZ,8,FALSE)&gt;0,VLOOKUP(B406,Aug!B:AZ,6,FALSE)=""), CONCATENATE(TEXT(VLOOKUP(B406,Aug!B:AZ,7,FALSE),"hh:mm"), "-", TEXT(VLOOKUP(B406,Aug!B:AZ,8,FALSE),"[hh]:mm")," Uhr ", IF(VLOOKUP(B406,Aug!B:AZ,12,FALSE)&gt;0, CONCATENATE("und ",TEXT(VLOOKUP(B406,Aug!B:AZ,12,FALSE),"hh:mm"), "-", TEXT(VLOOKUP(B406,Aug!B:AZ,13,FALSE),"[hh]:mm")," Uhr "),"")), IF(VLOOKUP(B406,Aug!B:AZ,6,FALSE)="","",VLOOKUP(VLOOKUP(B406,Aug!B:AZ,6,FALSE),Legende_Code,2,FALSE)))</f>
        <v/>
      </c>
      <c r="E406" s="16" t="str">
        <f>IF(AND(VLOOKUP(B406,Aug!B:AZ,6,FALSE)="", WEEKDAY(B406,2)=6,VLOOKUP(B406,Aug!B:AZ,48,FALSE)&gt;0),VLOOKUP(B406,Aug!B:AZ,48,FALSE)*24,"")</f>
        <v/>
      </c>
      <c r="F406" s="16" t="str">
        <f>IF(AND(VLOOKUP(B406,Aug!B:AZ,6,FALSE)="", WEEKDAY(B406,2)=7,VLOOKUP(B406,Aug!B:AZ,49,FALSE)&gt;0),VLOOKUP(B406,Aug!B:AZ,49,FALSE)*24,"")</f>
        <v/>
      </c>
      <c r="G406" s="16" t="str">
        <f>IF(AND(VLOOKUP(B406,Aug!B:AZ,6,FALSE)="",VLOOKUP(B406,Aug!B:AZ,46,FALSE)&gt;0),VLOOKUP(B406,Aug!B:AZ,46,FALSE)*24,"")</f>
        <v/>
      </c>
      <c r="H406" s="36" t="str">
        <f>IF(AND(VLOOKUP(B406,Aug!B:AZ,6,FALSE)="",VLOOKUP(B406,Aug!B:AZ,50,FALSE)&gt;0),VLOOKUP(B406,Aug!B:AZ,50,FALSE)*24,"")</f>
        <v/>
      </c>
      <c r="I406" s="30" t="str">
        <f>IF(AND(NETWORKDAYS(B406,B406,Feiertage)=1,VLOOKUP(B406,Aug!B:AZ,6,FALSE)="U"),"Urlaub","")</f>
        <v/>
      </c>
      <c r="J406" s="34" t="str">
        <f ca="1">IF(AND(VLOOKUP(B406,Aug!B:AZ,6,FALSE)="",VLOOKUP(B406,Aug!B:AZ,22,FALSE)&lt;0),"Absetzen von","")</f>
        <v/>
      </c>
      <c r="K406" s="263"/>
      <c r="M406" s="316" t="str">
        <f ca="1">IF(VLOOKUP(B406,Aug!B:AZ,22,FALSE)&lt;&gt;0,VLOOKUP(B406,Aug!B:AZ,22,FALSE),"")</f>
        <v/>
      </c>
      <c r="N406" s="327"/>
    </row>
    <row r="407" spans="2:14" x14ac:dyDescent="0.25">
      <c r="B407" s="245">
        <f>Aug!F37</f>
        <v>42245</v>
      </c>
      <c r="C407" s="35">
        <f t="shared" si="5"/>
        <v>42245</v>
      </c>
      <c r="D407" s="17" t="str">
        <f>IF(AND(VLOOKUP(B407,Aug!B:AZ,8,FALSE)&gt;0,VLOOKUP(B407,Aug!B:AZ,6,FALSE)=""), CONCATENATE(TEXT(VLOOKUP(B407,Aug!B:AZ,7,FALSE),"hh:mm"), "-", TEXT(VLOOKUP(B407,Aug!B:AZ,8,FALSE),"[hh]:mm")," Uhr ", IF(VLOOKUP(B407,Aug!B:AZ,12,FALSE)&gt;0, CONCATENATE("und ",TEXT(VLOOKUP(B407,Aug!B:AZ,12,FALSE),"hh:mm"), "-", TEXT(VLOOKUP(B407,Aug!B:AZ,13,FALSE),"[hh]:mm")," Uhr "),"")), IF(VLOOKUP(B407,Aug!B:AZ,6,FALSE)="","",VLOOKUP(VLOOKUP(B407,Aug!B:AZ,6,FALSE),Legende_Code,2,FALSE)))</f>
        <v/>
      </c>
      <c r="E407" s="16" t="str">
        <f>IF(AND(VLOOKUP(B407,Aug!B:AZ,6,FALSE)="", WEEKDAY(B407,2)=6,VLOOKUP(B407,Aug!B:AZ,48,FALSE)&gt;0),VLOOKUP(B407,Aug!B:AZ,48,FALSE)*24,"")</f>
        <v/>
      </c>
      <c r="F407" s="16" t="str">
        <f>IF(AND(VLOOKUP(B407,Aug!B:AZ,6,FALSE)="", WEEKDAY(B407,2)=7,VLOOKUP(B407,Aug!B:AZ,49,FALSE)&gt;0),VLOOKUP(B407,Aug!B:AZ,49,FALSE)*24,"")</f>
        <v/>
      </c>
      <c r="G407" s="16" t="str">
        <f>IF(AND(VLOOKUP(B407,Aug!B:AZ,6,FALSE)="",VLOOKUP(B407,Aug!B:AZ,46,FALSE)&gt;0),VLOOKUP(B407,Aug!B:AZ,46,FALSE)*24,"")</f>
        <v/>
      </c>
      <c r="H407" s="36" t="str">
        <f>IF(AND(VLOOKUP(B407,Aug!B:AZ,6,FALSE)="",VLOOKUP(B407,Aug!B:AZ,50,FALSE)&gt;0),VLOOKUP(B407,Aug!B:AZ,50,FALSE)*24,"")</f>
        <v/>
      </c>
      <c r="I407" s="30" t="str">
        <f>IF(AND(NETWORKDAYS(B407,B407,Feiertage)=1,VLOOKUP(B407,Aug!B:AZ,6,FALSE)="U"),"Urlaub","")</f>
        <v/>
      </c>
      <c r="J407" s="34" t="str">
        <f ca="1">IF(AND(VLOOKUP(B407,Aug!B:AZ,6,FALSE)="",VLOOKUP(B407,Aug!B:AZ,22,FALSE)&lt;0),"Absetzen von","")</f>
        <v/>
      </c>
      <c r="K407" s="263"/>
      <c r="M407" s="316" t="str">
        <f ca="1">IF(VLOOKUP(B407,Aug!B:AZ,22,FALSE)&lt;&gt;0,VLOOKUP(B407,Aug!B:AZ,22,FALSE),"")</f>
        <v/>
      </c>
      <c r="N407" s="327"/>
    </row>
    <row r="408" spans="2:14" ht="15.75" thickBot="1" x14ac:dyDescent="0.3">
      <c r="B408" s="245">
        <f>Aug!F38</f>
        <v>42246</v>
      </c>
      <c r="C408" s="35">
        <f t="shared" si="5"/>
        <v>42246</v>
      </c>
      <c r="D408" s="17" t="str">
        <f>IF(AND(VLOOKUP(B408,Aug!B:AZ,8,FALSE)&gt;0,VLOOKUP(B408,Aug!B:AZ,6,FALSE)=""), CONCATENATE(TEXT(VLOOKUP(B408,Aug!B:AZ,7,FALSE),"hh:mm"), "-", TEXT(VLOOKUP(B408,Aug!B:AZ,8,FALSE),"[hh]:mm")," Uhr ", IF(VLOOKUP(B408,Aug!B:AZ,12,FALSE)&gt;0, CONCATENATE("und ",TEXT(VLOOKUP(B408,Aug!B:AZ,12,FALSE),"hh:mm"), "-", TEXT(VLOOKUP(B408,Aug!B:AZ,13,FALSE),"[hh]:mm")," Uhr "),"")), IF(VLOOKUP(B408,Aug!B:AZ,6,FALSE)="","",VLOOKUP(VLOOKUP(B408,Aug!B:AZ,6,FALSE),Legende_Code,2,FALSE)))</f>
        <v/>
      </c>
      <c r="E408" s="16" t="str">
        <f>IF(AND(VLOOKUP(B408,Aug!B:AZ,6,FALSE)="", WEEKDAY(B408,2)=6,VLOOKUP(B408,Aug!B:AZ,48,FALSE)&gt;0),VLOOKUP(B408,Aug!B:AZ,48,FALSE)*24,"")</f>
        <v/>
      </c>
      <c r="F408" s="16" t="str">
        <f>IF(AND(VLOOKUP(B408,Aug!B:AZ,6,FALSE)="", WEEKDAY(B408,2)=7,VLOOKUP(B408,Aug!B:AZ,49,FALSE)&gt;0),VLOOKUP(B408,Aug!B:AZ,49,FALSE)*24,"")</f>
        <v/>
      </c>
      <c r="G408" s="16" t="str">
        <f>IF(AND(VLOOKUP(B408,Aug!B:AZ,6,FALSE)="",VLOOKUP(B408,Aug!B:AZ,46,FALSE)&gt;0),VLOOKUP(B408,Aug!B:AZ,46,FALSE)*24,"")</f>
        <v/>
      </c>
      <c r="H408" s="36" t="str">
        <f>IF(AND(VLOOKUP(B408,Aug!B:AZ,6,FALSE)="",VLOOKUP(B408,Aug!B:AZ,50,FALSE)&gt;0),VLOOKUP(B408,Aug!B:AZ,50,FALSE)*24,"")</f>
        <v/>
      </c>
      <c r="I408" s="30" t="str">
        <f>IF(AND(NETWORKDAYS(B408,B408,Feiertage)=1,VLOOKUP(B408,Aug!B:AZ,6,FALSE)="U"),"Urlaub","")</f>
        <v/>
      </c>
      <c r="J408" s="34" t="str">
        <f ca="1">IF(AND(VLOOKUP(B408,Aug!B:AZ,6,FALSE)="",VLOOKUP(B408,Aug!B:AZ,22,FALSE)&lt;0),"Absetzen von","")</f>
        <v/>
      </c>
      <c r="K408" s="263"/>
      <c r="M408" s="316" t="str">
        <f ca="1">IF(VLOOKUP(B408,Aug!B:AZ,22,FALSE)&lt;&gt;0,VLOOKUP(B408,Aug!B:AZ,22,FALSE),"")</f>
        <v/>
      </c>
      <c r="N408" s="327"/>
    </row>
    <row r="409" spans="2:14" ht="15.75" thickBot="1" x14ac:dyDescent="0.3">
      <c r="B409" s="186"/>
      <c r="C409" s="37"/>
      <c r="D409" s="38" t="s">
        <v>198</v>
      </c>
      <c r="E409" s="39" t="str">
        <f>IF(SUM(E378:E408)=0," ",SUM(E378:E408))</f>
        <v xml:space="preserve"> </v>
      </c>
      <c r="F409" s="39" t="str">
        <f>IF(SUM(F378:F408)=0," ",SUM(F378:F408))</f>
        <v xml:space="preserve"> </v>
      </c>
      <c r="G409" s="39" t="str">
        <f>IF(SUM(G378:G408)=0," ",SUM(G378:G408))</f>
        <v xml:space="preserve"> </v>
      </c>
      <c r="H409" s="40" t="str">
        <f>IF(SUM(H378:H408)=0," ",SUM(H378:H408))</f>
        <v xml:space="preserve"> </v>
      </c>
      <c r="I409" s="30"/>
      <c r="J409" s="185"/>
      <c r="K409" s="266"/>
      <c r="N409" s="327"/>
    </row>
    <row r="410" spans="2:14" x14ac:dyDescent="0.25">
      <c r="B410" s="44" t="s">
        <v>199</v>
      </c>
      <c r="C410" s="20"/>
      <c r="D410" s="41"/>
      <c r="E410" s="20"/>
      <c r="F410" s="20"/>
      <c r="G410" s="20" t="s">
        <v>200</v>
      </c>
      <c r="H410" s="20"/>
      <c r="I410" s="20"/>
      <c r="J410" s="20"/>
      <c r="K410" s="267"/>
      <c r="N410" s="327"/>
    </row>
    <row r="411" spans="2:14" x14ac:dyDescent="0.25">
      <c r="B411" s="44"/>
      <c r="C411" s="20"/>
      <c r="D411" s="41"/>
      <c r="E411" s="20"/>
      <c r="F411" s="20"/>
      <c r="G411" s="20"/>
      <c r="H411" s="20"/>
      <c r="I411" s="20"/>
      <c r="J411" s="20"/>
      <c r="K411" s="267"/>
      <c r="N411" s="327"/>
    </row>
    <row r="412" spans="2:14" x14ac:dyDescent="0.25">
      <c r="B412" s="44"/>
      <c r="C412" s="20"/>
      <c r="D412" s="41"/>
      <c r="E412" s="20"/>
      <c r="F412" s="20"/>
      <c r="G412" s="20"/>
      <c r="H412" s="20"/>
      <c r="I412" s="20"/>
      <c r="J412" s="20"/>
      <c r="K412" s="267"/>
      <c r="N412" s="327"/>
    </row>
    <row r="413" spans="2:14" x14ac:dyDescent="0.25">
      <c r="B413" s="44" t="s">
        <v>201</v>
      </c>
      <c r="C413" s="20"/>
      <c r="D413" s="41"/>
      <c r="E413" s="20"/>
      <c r="F413" s="20"/>
      <c r="G413" s="20" t="s">
        <v>202</v>
      </c>
      <c r="H413" s="20"/>
      <c r="I413" s="20"/>
      <c r="J413" s="20"/>
      <c r="K413" s="267"/>
      <c r="N413" s="327"/>
    </row>
    <row r="414" spans="2:14" x14ac:dyDescent="0.25">
      <c r="B414" s="253"/>
      <c r="C414" s="42"/>
      <c r="D414" s="18"/>
      <c r="E414" s="19"/>
      <c r="F414" s="19"/>
      <c r="G414" s="19"/>
      <c r="H414" s="43"/>
      <c r="I414" s="20"/>
      <c r="J414" s="44"/>
      <c r="K414" s="268"/>
      <c r="N414" s="327"/>
    </row>
    <row r="415" spans="2:14" x14ac:dyDescent="0.25">
      <c r="B415" s="253"/>
      <c r="C415" s="42"/>
      <c r="D415" s="18"/>
      <c r="E415" s="19"/>
      <c r="F415" s="19"/>
      <c r="G415" s="19"/>
      <c r="H415" s="43"/>
      <c r="I415" s="20"/>
      <c r="J415" s="44"/>
      <c r="K415" s="268"/>
      <c r="N415" s="327"/>
    </row>
    <row r="416" spans="2:14" x14ac:dyDescent="0.25">
      <c r="B416" s="253"/>
      <c r="C416" s="42"/>
      <c r="D416" s="18"/>
      <c r="E416" s="19"/>
      <c r="F416" s="19"/>
      <c r="G416" s="19"/>
      <c r="H416" s="43"/>
      <c r="I416" s="20"/>
      <c r="J416" s="44"/>
      <c r="K416" s="268"/>
      <c r="N416" s="327"/>
    </row>
    <row r="417" spans="1:14" x14ac:dyDescent="0.25">
      <c r="B417" s="253"/>
      <c r="C417" s="42"/>
      <c r="D417" s="18"/>
      <c r="E417" s="19"/>
      <c r="F417" s="19"/>
      <c r="G417" s="19"/>
      <c r="H417" s="43"/>
      <c r="I417" s="20"/>
      <c r="J417" s="44"/>
      <c r="K417" s="268"/>
      <c r="N417" s="327"/>
    </row>
    <row r="418" spans="1:14" s="45" customFormat="1" ht="18" x14ac:dyDescent="0.25">
      <c r="B418" s="252"/>
      <c r="C418" s="539" t="s">
        <v>186</v>
      </c>
      <c r="D418" s="539"/>
      <c r="E418" s="539"/>
      <c r="F418" s="539"/>
      <c r="G418" s="21"/>
      <c r="H418" s="21"/>
      <c r="I418" s="21"/>
      <c r="J418" s="21"/>
      <c r="K418" s="259"/>
      <c r="M418" s="317"/>
      <c r="N418" s="328"/>
    </row>
    <row r="419" spans="1:14" s="45" customFormat="1" ht="16.5" x14ac:dyDescent="0.25">
      <c r="B419" s="252" t="s">
        <v>82</v>
      </c>
      <c r="C419" s="21"/>
      <c r="D419" s="22"/>
      <c r="E419" s="21"/>
      <c r="F419" s="21"/>
      <c r="G419" s="21"/>
      <c r="H419" s="21"/>
      <c r="I419" s="23" t="str">
        <f>Struktureinheit</f>
        <v>Struktureinheit</v>
      </c>
      <c r="J419" s="24"/>
      <c r="K419" s="260"/>
      <c r="M419" s="317" t="s">
        <v>187</v>
      </c>
      <c r="N419" s="256"/>
    </row>
    <row r="420" spans="1:14" ht="16.5" x14ac:dyDescent="0.25">
      <c r="A420" s="29"/>
      <c r="B420" s="545" t="s">
        <v>1</v>
      </c>
      <c r="C420" s="545"/>
      <c r="D420" s="20" t="str">
        <f>Name</f>
        <v>Max Mustermann</v>
      </c>
      <c r="E420" s="25"/>
      <c r="F420" s="25"/>
      <c r="G420" s="25"/>
      <c r="H420" s="26"/>
      <c r="I420" s="27"/>
      <c r="J420" s="27"/>
      <c r="K420" s="260"/>
      <c r="M420" s="317" t="s">
        <v>188</v>
      </c>
      <c r="N420" s="257"/>
    </row>
    <row r="421" spans="1:14" ht="9.75" customHeight="1" x14ac:dyDescent="0.25">
      <c r="A421" s="29"/>
      <c r="C421" s="26"/>
      <c r="D421" s="28"/>
      <c r="E421" s="26"/>
      <c r="F421" s="26"/>
      <c r="G421" s="26"/>
      <c r="H421" s="26"/>
      <c r="I421" s="26"/>
      <c r="J421" s="26"/>
      <c r="K421" s="259"/>
      <c r="N421" s="327"/>
    </row>
    <row r="422" spans="1:14" x14ac:dyDescent="0.25">
      <c r="A422" s="29"/>
      <c r="B422" s="545" t="s">
        <v>189</v>
      </c>
      <c r="C422" s="545"/>
      <c r="D422" s="26">
        <f>Personalnummer</f>
        <v>123456789</v>
      </c>
      <c r="G422" s="26"/>
      <c r="H422" s="184" t="s">
        <v>190</v>
      </c>
      <c r="I422" s="540">
        <f>Geburtstag</f>
        <v>16833</v>
      </c>
      <c r="J422" s="540"/>
      <c r="K422" s="261"/>
      <c r="N422" s="327"/>
    </row>
    <row r="423" spans="1:14" x14ac:dyDescent="0.25">
      <c r="A423" s="29"/>
      <c r="C423" s="26"/>
      <c r="D423" s="28"/>
      <c r="E423" s="26"/>
      <c r="F423" s="26"/>
      <c r="G423" s="26"/>
      <c r="H423" s="26"/>
      <c r="I423" s="26"/>
      <c r="J423" s="26"/>
      <c r="K423" s="259"/>
      <c r="N423" s="327"/>
    </row>
    <row r="424" spans="1:14" x14ac:dyDescent="0.25">
      <c r="A424" s="29"/>
      <c r="B424" s="541" t="s">
        <v>191</v>
      </c>
      <c r="C424" s="541"/>
      <c r="D424" s="542">
        <f>B430</f>
        <v>42247</v>
      </c>
      <c r="E424" s="542"/>
      <c r="F424" s="542"/>
      <c r="G424" s="542"/>
      <c r="H424" s="542"/>
      <c r="I424" s="186"/>
      <c r="J424" s="543"/>
      <c r="K424" s="544"/>
      <c r="N424" s="327"/>
    </row>
    <row r="425" spans="1:14" ht="15" customHeight="1" x14ac:dyDescent="0.25">
      <c r="B425" s="557"/>
      <c r="C425" s="557"/>
      <c r="D425" s="558" t="s">
        <v>192</v>
      </c>
      <c r="E425" s="546" t="s">
        <v>38</v>
      </c>
      <c r="F425" s="546" t="s">
        <v>39</v>
      </c>
      <c r="G425" s="546" t="s">
        <v>105</v>
      </c>
      <c r="H425" s="548" t="s">
        <v>81</v>
      </c>
      <c r="I425" s="30" t="s">
        <v>193</v>
      </c>
      <c r="J425" s="550" t="s">
        <v>63</v>
      </c>
      <c r="K425" s="551"/>
      <c r="N425" s="327"/>
    </row>
    <row r="426" spans="1:14" x14ac:dyDescent="0.25">
      <c r="B426" s="557"/>
      <c r="C426" s="557"/>
      <c r="D426" s="558"/>
      <c r="E426" s="547"/>
      <c r="F426" s="547"/>
      <c r="G426" s="547"/>
      <c r="H426" s="549"/>
      <c r="I426" s="552"/>
      <c r="J426" s="550"/>
      <c r="K426" s="551"/>
      <c r="N426" s="327"/>
    </row>
    <row r="427" spans="1:14" x14ac:dyDescent="0.25">
      <c r="B427" s="557"/>
      <c r="C427" s="186"/>
      <c r="D427" s="31" t="s">
        <v>194</v>
      </c>
      <c r="E427" s="186" t="s">
        <v>195</v>
      </c>
      <c r="F427" s="186"/>
      <c r="G427" s="186" t="s">
        <v>196</v>
      </c>
      <c r="H427" s="32"/>
      <c r="I427" s="544"/>
      <c r="J427" s="543"/>
      <c r="K427" s="554"/>
      <c r="N427" s="327"/>
    </row>
    <row r="428" spans="1:14" x14ac:dyDescent="0.25">
      <c r="B428" s="186" t="s">
        <v>80</v>
      </c>
      <c r="C428" s="186" t="s">
        <v>128</v>
      </c>
      <c r="D428" s="31"/>
      <c r="E428" s="186" t="s">
        <v>197</v>
      </c>
      <c r="F428" s="186" t="s">
        <v>197</v>
      </c>
      <c r="G428" s="186" t="s">
        <v>197</v>
      </c>
      <c r="H428" s="32" t="s">
        <v>197</v>
      </c>
      <c r="I428" s="553"/>
      <c r="J428" s="555"/>
      <c r="K428" s="556"/>
      <c r="N428" s="327"/>
    </row>
    <row r="429" spans="1:14" x14ac:dyDescent="0.25">
      <c r="B429" s="186"/>
      <c r="C429" s="186"/>
      <c r="D429" s="33"/>
      <c r="E429" s="16"/>
      <c r="F429" s="186"/>
      <c r="G429" s="186"/>
      <c r="H429" s="32"/>
      <c r="I429" s="30"/>
      <c r="J429" s="34"/>
      <c r="K429" s="269"/>
      <c r="N429" s="327"/>
    </row>
    <row r="430" spans="1:14" x14ac:dyDescent="0.25">
      <c r="B430" s="245">
        <f>Sep!F8</f>
        <v>42247</v>
      </c>
      <c r="C430" s="35">
        <f t="shared" si="5"/>
        <v>42247</v>
      </c>
      <c r="D430" s="17" t="str">
        <f>IF(AND(VLOOKUP(B430,Sep!B:AZ,8,FALSE)&gt;0,VLOOKUP(B430,Sep!B:AZ,6,FALSE)=""), CONCATENATE(TEXT(VLOOKUP(B430,Sep!B:AZ,7,FALSE),"hh:mm"), "-", TEXT(VLOOKUP(B430,Sep!B:AZ,8,FALSE),"[hh]:mm")," Uhr ", IF(VLOOKUP(B430,Sep!B:AZ,12,FALSE)&gt;0, CONCATENATE("und ",TEXT(VLOOKUP(B430,Sep!B:AZ,12,FALSE),"hh:mm"), "-", TEXT(VLOOKUP(B430,Sep!B:AZ,13,FALSE),"[hh]:mm")," Uhr "),"")), IF(VLOOKUP(B430,Sep!B:AZ,6,FALSE)="","",VLOOKUP(VLOOKUP(B430,Sep!B:AZ,6,FALSE),Legende_Code,2,FALSE)))</f>
        <v/>
      </c>
      <c r="E430" s="16" t="str">
        <f>IF(AND(VLOOKUP(B430,Sep!B:AZ,6,FALSE)="", WEEKDAY(B430,2)=6,VLOOKUP(B430,Sep!B:AZ,48,FALSE)&gt;0),VLOOKUP(B430,Sep!B:AZ,48,FALSE)*24,"")</f>
        <v/>
      </c>
      <c r="F430" s="16" t="str">
        <f>IF(AND(VLOOKUP(B430,Sep!B:AZ,6,FALSE)="", WEEKDAY(B430,2)=7,VLOOKUP(B430,Sep!B:AZ,49,FALSE)&gt;0),VLOOKUP(B430,Sep!B:AZ,49,FALSE)*24,"")</f>
        <v/>
      </c>
      <c r="G430" s="16" t="str">
        <f>IF(AND(VLOOKUP(B430,Sep!B:AZ,6,FALSE)="",VLOOKUP(B430,Sep!B:AZ,46,FALSE)&gt;0),VLOOKUP(B430,Sep!B:AZ,46,FALSE)*24,"")</f>
        <v/>
      </c>
      <c r="H430" s="36" t="str">
        <f>IF(AND(VLOOKUP(B430,Sep!B:AZ,6,FALSE)="",VLOOKUP(B430,Sep!B:AZ,50,FALSE)&gt;0),VLOOKUP(B430,Sep!B:AZ,50,FALSE)*24,"")</f>
        <v/>
      </c>
      <c r="I430" s="30" t="str">
        <f>IF(AND(NETWORKDAYS(B430,B430,Feiertage)=1,VLOOKUP(B430,Sep!B:AZ,6,FALSE)="U"),"Urlaub","")</f>
        <v/>
      </c>
      <c r="J430" s="34" t="str">
        <f ca="1">IF(AND(VLOOKUP(B430,Sep!B:AZ,6,FALSE)="",VLOOKUP(B430,Sep!B:AZ,22,FALSE)&lt;0),"Absetzen von","")</f>
        <v/>
      </c>
      <c r="K430" s="263"/>
      <c r="M430" s="316" t="str">
        <f ca="1">IF(VLOOKUP(B430,Sep!B:AZ,22,FALSE)&lt;&gt;0,VLOOKUP(B430,Sep!B:AZ,22,FALSE),"")</f>
        <v/>
      </c>
      <c r="N430" s="327"/>
    </row>
    <row r="431" spans="1:14" x14ac:dyDescent="0.25">
      <c r="B431" s="245">
        <f>Sep!F9</f>
        <v>42248</v>
      </c>
      <c r="C431" s="35">
        <f t="shared" si="5"/>
        <v>42248</v>
      </c>
      <c r="D431" s="17" t="str">
        <f>IF(AND(VLOOKUP(B431,Sep!B:AZ,8,FALSE)&gt;0,VLOOKUP(B431,Sep!B:AZ,6,FALSE)=""), CONCATENATE(TEXT(VLOOKUP(B431,Sep!B:AZ,7,FALSE),"hh:mm"), "-", TEXT(VLOOKUP(B431,Sep!B:AZ,8,FALSE),"[hh]:mm")," Uhr ", IF(VLOOKUP(B431,Sep!B:AZ,12,FALSE)&gt;0, CONCATENATE("und ",TEXT(VLOOKUP(B431,Sep!B:AZ,12,FALSE),"hh:mm"), "-", TEXT(VLOOKUP(B431,Sep!B:AZ,13,FALSE),"[hh]:mm")," Uhr "),"")), IF(VLOOKUP(B431,Sep!B:AZ,6,FALSE)="","",VLOOKUP(VLOOKUP(B431,Sep!B:AZ,6,FALSE),Legende_Code,2,FALSE)))</f>
        <v/>
      </c>
      <c r="E431" s="16" t="str">
        <f>IF(AND(VLOOKUP(B431,Sep!B:AZ,6,FALSE)="", WEEKDAY(B431,2)=6,VLOOKUP(B431,Sep!B:AZ,48,FALSE)&gt;0),VLOOKUP(B431,Sep!B:AZ,48,FALSE)*24,"")</f>
        <v/>
      </c>
      <c r="F431" s="16" t="str">
        <f>IF(AND(VLOOKUP(B431,Sep!B:AZ,6,FALSE)="", WEEKDAY(B431,2)=7,VLOOKUP(B431,Sep!B:AZ,49,FALSE)&gt;0),VLOOKUP(B431,Sep!B:AZ,49,FALSE)*24,"")</f>
        <v/>
      </c>
      <c r="G431" s="16" t="str">
        <f>IF(AND(VLOOKUP(B431,Sep!B:AZ,6,FALSE)="",VLOOKUP(B431,Sep!B:AZ,46,FALSE)&gt;0),VLOOKUP(B431,Sep!B:AZ,46,FALSE)*24,"")</f>
        <v/>
      </c>
      <c r="H431" s="36" t="str">
        <f>IF(AND(VLOOKUP(B431,Sep!B:AZ,6,FALSE)="",VLOOKUP(B431,Sep!B:AZ,50,FALSE)&gt;0),VLOOKUP(B431,Sep!B:AZ,50,FALSE)*24,"")</f>
        <v/>
      </c>
      <c r="I431" s="30" t="str">
        <f>IF(AND(NETWORKDAYS(B431,B431,Feiertage)=1,VLOOKUP(B431,Sep!B:AZ,6,FALSE)="U"),"Urlaub","")</f>
        <v/>
      </c>
      <c r="J431" s="34" t="str">
        <f ca="1">IF(AND(VLOOKUP(B431,Sep!B:AZ,6,FALSE)="",VLOOKUP(B431,Sep!B:AZ,22,FALSE)&lt;0),"Absetzen von","")</f>
        <v/>
      </c>
      <c r="K431" s="263"/>
      <c r="M431" s="316" t="str">
        <f ca="1">IF(VLOOKUP(B431,Sep!B:AZ,22,FALSE)&lt;&gt;0,VLOOKUP(B431,Sep!B:AZ,22,FALSE),"")</f>
        <v/>
      </c>
      <c r="N431" s="327"/>
    </row>
    <row r="432" spans="1:14" x14ac:dyDescent="0.25">
      <c r="B432" s="245">
        <f>Sep!F10</f>
        <v>42249</v>
      </c>
      <c r="C432" s="35">
        <f t="shared" si="5"/>
        <v>42249</v>
      </c>
      <c r="D432" s="17" t="str">
        <f>IF(AND(VLOOKUP(B432,Sep!B:AZ,8,FALSE)&gt;0,VLOOKUP(B432,Sep!B:AZ,6,FALSE)=""), CONCATENATE(TEXT(VLOOKUP(B432,Sep!B:AZ,7,FALSE),"hh:mm"), "-", TEXT(VLOOKUP(B432,Sep!B:AZ,8,FALSE),"[hh]:mm")," Uhr ", IF(VLOOKUP(B432,Sep!B:AZ,12,FALSE)&gt;0, CONCATENATE("und ",TEXT(VLOOKUP(B432,Sep!B:AZ,12,FALSE),"hh:mm"), "-", TEXT(VLOOKUP(B432,Sep!B:AZ,13,FALSE),"[hh]:mm")," Uhr "),"")), IF(VLOOKUP(B432,Sep!B:AZ,6,FALSE)="","",VLOOKUP(VLOOKUP(B432,Sep!B:AZ,6,FALSE),Legende_Code,2,FALSE)))</f>
        <v/>
      </c>
      <c r="E432" s="16" t="str">
        <f>IF(AND(VLOOKUP(B432,Sep!B:AZ,6,FALSE)="", WEEKDAY(B432,2)=6,VLOOKUP(B432,Sep!B:AZ,48,FALSE)&gt;0),VLOOKUP(B432,Sep!B:AZ,48,FALSE)*24,"")</f>
        <v/>
      </c>
      <c r="F432" s="16" t="str">
        <f>IF(AND(VLOOKUP(B432,Sep!B:AZ,6,FALSE)="", WEEKDAY(B432,2)=7,VLOOKUP(B432,Sep!B:AZ,49,FALSE)&gt;0),VLOOKUP(B432,Sep!B:AZ,49,FALSE)*24,"")</f>
        <v/>
      </c>
      <c r="G432" s="16" t="str">
        <f>IF(AND(VLOOKUP(B432,Sep!B:AZ,6,FALSE)="",VLOOKUP(B432,Sep!B:AZ,46,FALSE)&gt;0),VLOOKUP(B432,Sep!B:AZ,46,FALSE)*24,"")</f>
        <v/>
      </c>
      <c r="H432" s="36" t="str">
        <f>IF(AND(VLOOKUP(B432,Sep!B:AZ,6,FALSE)="",VLOOKUP(B432,Sep!B:AZ,50,FALSE)&gt;0),VLOOKUP(B432,Sep!B:AZ,50,FALSE)*24,"")</f>
        <v/>
      </c>
      <c r="I432" s="30" t="str">
        <f>IF(AND(NETWORKDAYS(B432,B432,Feiertage)=1,VLOOKUP(B432,Sep!B:AZ,6,FALSE)="U"),"Urlaub","")</f>
        <v/>
      </c>
      <c r="J432" s="34" t="str">
        <f ca="1">IF(AND(VLOOKUP(B432,Sep!B:AZ,6,FALSE)="",VLOOKUP(B432,Sep!B:AZ,22,FALSE)&lt;0),"Absetzen von","")</f>
        <v/>
      </c>
      <c r="K432" s="263"/>
      <c r="M432" s="316" t="str">
        <f ca="1">IF(VLOOKUP(B432,Sep!B:AZ,22,FALSE)&lt;&gt;0,VLOOKUP(B432,Sep!B:AZ,22,FALSE),"")</f>
        <v/>
      </c>
      <c r="N432" s="327"/>
    </row>
    <row r="433" spans="2:14" x14ac:dyDescent="0.25">
      <c r="B433" s="245">
        <f>Sep!F11</f>
        <v>42250</v>
      </c>
      <c r="C433" s="35">
        <f t="shared" si="5"/>
        <v>42250</v>
      </c>
      <c r="D433" s="17" t="str">
        <f>IF(AND(VLOOKUP(B433,Sep!B:AZ,8,FALSE)&gt;0,VLOOKUP(B433,Sep!B:AZ,6,FALSE)=""), CONCATENATE(TEXT(VLOOKUP(B433,Sep!B:AZ,7,FALSE),"hh:mm"), "-", TEXT(VLOOKUP(B433,Sep!B:AZ,8,FALSE),"[hh]:mm")," Uhr ", IF(VLOOKUP(B433,Sep!B:AZ,12,FALSE)&gt;0, CONCATENATE("und ",TEXT(VLOOKUP(B433,Sep!B:AZ,12,FALSE),"hh:mm"), "-", TEXT(VLOOKUP(B433,Sep!B:AZ,13,FALSE),"[hh]:mm")," Uhr "),"")), IF(VLOOKUP(B433,Sep!B:AZ,6,FALSE)="","",VLOOKUP(VLOOKUP(B433,Sep!B:AZ,6,FALSE),Legende_Code,2,FALSE)))</f>
        <v/>
      </c>
      <c r="E433" s="16" t="str">
        <f>IF(AND(VLOOKUP(B433,Sep!B:AZ,6,FALSE)="", WEEKDAY(B433,2)=6,VLOOKUP(B433,Sep!B:AZ,48,FALSE)&gt;0),VLOOKUP(B433,Sep!B:AZ,48,FALSE)*24,"")</f>
        <v/>
      </c>
      <c r="F433" s="16" t="str">
        <f>IF(AND(VLOOKUP(B433,Sep!B:AZ,6,FALSE)="", WEEKDAY(B433,2)=7,VLOOKUP(B433,Sep!B:AZ,49,FALSE)&gt;0),VLOOKUP(B433,Sep!B:AZ,49,FALSE)*24,"")</f>
        <v/>
      </c>
      <c r="G433" s="16" t="str">
        <f>IF(AND(VLOOKUP(B433,Sep!B:AZ,6,FALSE)="",VLOOKUP(B433,Sep!B:AZ,46,FALSE)&gt;0),VLOOKUP(B433,Sep!B:AZ,46,FALSE)*24,"")</f>
        <v/>
      </c>
      <c r="H433" s="36" t="str">
        <f>IF(AND(VLOOKUP(B433,Sep!B:AZ,6,FALSE)="",VLOOKUP(B433,Sep!B:AZ,50,FALSE)&gt;0),VLOOKUP(B433,Sep!B:AZ,50,FALSE)*24,"")</f>
        <v/>
      </c>
      <c r="I433" s="30" t="str">
        <f>IF(AND(NETWORKDAYS(B433,B433,Feiertage)=1,VLOOKUP(B433,Sep!B:AZ,6,FALSE)="U"),"Urlaub","")</f>
        <v/>
      </c>
      <c r="J433" s="34" t="str">
        <f ca="1">IF(AND(VLOOKUP(B433,Sep!B:AZ,6,FALSE)="",VLOOKUP(B433,Sep!B:AZ,22,FALSE)&lt;0),"Absetzen von","")</f>
        <v/>
      </c>
      <c r="K433" s="263"/>
      <c r="M433" s="316" t="str">
        <f ca="1">IF(VLOOKUP(B433,Sep!B:AZ,22,FALSE)&lt;&gt;0,VLOOKUP(B433,Sep!B:AZ,22,FALSE),"")</f>
        <v/>
      </c>
      <c r="N433" s="327"/>
    </row>
    <row r="434" spans="2:14" x14ac:dyDescent="0.25">
      <c r="B434" s="245">
        <f>Sep!F12</f>
        <v>42251</v>
      </c>
      <c r="C434" s="35">
        <f t="shared" si="5"/>
        <v>42251</v>
      </c>
      <c r="D434" s="17" t="str">
        <f>IF(AND(VLOOKUP(B434,Sep!B:AZ,8,FALSE)&gt;0,VLOOKUP(B434,Sep!B:AZ,6,FALSE)=""), CONCATENATE(TEXT(VLOOKUP(B434,Sep!B:AZ,7,FALSE),"hh:mm"), "-", TEXT(VLOOKUP(B434,Sep!B:AZ,8,FALSE),"[hh]:mm")," Uhr ", IF(VLOOKUP(B434,Sep!B:AZ,12,FALSE)&gt;0, CONCATENATE("und ",TEXT(VLOOKUP(B434,Sep!B:AZ,12,FALSE),"hh:mm"), "-", TEXT(VLOOKUP(B434,Sep!B:AZ,13,FALSE),"[hh]:mm")," Uhr "),"")), IF(VLOOKUP(B434,Sep!B:AZ,6,FALSE)="","",VLOOKUP(VLOOKUP(B434,Sep!B:AZ,6,FALSE),Legende_Code,2,FALSE)))</f>
        <v/>
      </c>
      <c r="E434" s="16" t="str">
        <f>IF(AND(VLOOKUP(B434,Sep!B:AZ,6,FALSE)="", WEEKDAY(B434,2)=6,VLOOKUP(B434,Sep!B:AZ,48,FALSE)&gt;0),VLOOKUP(B434,Sep!B:AZ,48,FALSE)*24,"")</f>
        <v/>
      </c>
      <c r="F434" s="16" t="str">
        <f>IF(AND(VLOOKUP(B434,Sep!B:AZ,6,FALSE)="", WEEKDAY(B434,2)=7,VLOOKUP(B434,Sep!B:AZ,49,FALSE)&gt;0),VLOOKUP(B434,Sep!B:AZ,49,FALSE)*24,"")</f>
        <v/>
      </c>
      <c r="G434" s="16" t="str">
        <f>IF(AND(VLOOKUP(B434,Sep!B:AZ,6,FALSE)="",VLOOKUP(B434,Sep!B:AZ,46,FALSE)&gt;0),VLOOKUP(B434,Sep!B:AZ,46,FALSE)*24,"")</f>
        <v/>
      </c>
      <c r="H434" s="36" t="str">
        <f>IF(AND(VLOOKUP(B434,Sep!B:AZ,6,FALSE)="",VLOOKUP(B434,Sep!B:AZ,50,FALSE)&gt;0),VLOOKUP(B434,Sep!B:AZ,50,FALSE)*24,"")</f>
        <v/>
      </c>
      <c r="I434" s="30" t="str">
        <f>IF(AND(NETWORKDAYS(B434,B434,Feiertage)=1,VLOOKUP(B434,Sep!B:AZ,6,FALSE)="U"),"Urlaub","")</f>
        <v/>
      </c>
      <c r="J434" s="34" t="str">
        <f ca="1">IF(AND(VLOOKUP(B434,Sep!B:AZ,6,FALSE)="",VLOOKUP(B434,Sep!B:AZ,22,FALSE)&lt;0),"Absetzen von","")</f>
        <v/>
      </c>
      <c r="K434" s="263"/>
      <c r="M434" s="316" t="str">
        <f ca="1">IF(VLOOKUP(B434,Sep!B:AZ,22,FALSE)&lt;&gt;0,VLOOKUP(B434,Sep!B:AZ,22,FALSE),"")</f>
        <v/>
      </c>
      <c r="N434" s="327"/>
    </row>
    <row r="435" spans="2:14" x14ac:dyDescent="0.25">
      <c r="B435" s="245">
        <f>Sep!F13</f>
        <v>42252</v>
      </c>
      <c r="C435" s="35">
        <f t="shared" si="5"/>
        <v>42252</v>
      </c>
      <c r="D435" s="17" t="str">
        <f>IF(AND(VLOOKUP(B435,Sep!B:AZ,8,FALSE)&gt;0,VLOOKUP(B435,Sep!B:AZ,6,FALSE)=""), CONCATENATE(TEXT(VLOOKUP(B435,Sep!B:AZ,7,FALSE),"hh:mm"), "-", TEXT(VLOOKUP(B435,Sep!B:AZ,8,FALSE),"[hh]:mm")," Uhr ", IF(VLOOKUP(B435,Sep!B:AZ,12,FALSE)&gt;0, CONCATENATE("und ",TEXT(VLOOKUP(B435,Sep!B:AZ,12,FALSE),"hh:mm"), "-", TEXT(VLOOKUP(B435,Sep!B:AZ,13,FALSE),"[hh]:mm")," Uhr "),"")), IF(VLOOKUP(B435,Sep!B:AZ,6,FALSE)="","",VLOOKUP(VLOOKUP(B435,Sep!B:AZ,6,FALSE),Legende_Code,2,FALSE)))</f>
        <v/>
      </c>
      <c r="E435" s="16" t="str">
        <f>IF(AND(VLOOKUP(B435,Sep!B:AZ,6,FALSE)="", WEEKDAY(B435,2)=6,VLOOKUP(B435,Sep!B:AZ,48,FALSE)&gt;0),VLOOKUP(B435,Sep!B:AZ,48,FALSE)*24,"")</f>
        <v/>
      </c>
      <c r="F435" s="16" t="str">
        <f>IF(AND(VLOOKUP(B435,Sep!B:AZ,6,FALSE)="", WEEKDAY(B435,2)=7,VLOOKUP(B435,Sep!B:AZ,49,FALSE)&gt;0),VLOOKUP(B435,Sep!B:AZ,49,FALSE)*24,"")</f>
        <v/>
      </c>
      <c r="G435" s="16" t="str">
        <f>IF(AND(VLOOKUP(B435,Sep!B:AZ,6,FALSE)="",VLOOKUP(B435,Sep!B:AZ,46,FALSE)&gt;0),VLOOKUP(B435,Sep!B:AZ,46,FALSE)*24,"")</f>
        <v/>
      </c>
      <c r="H435" s="36" t="str">
        <f>IF(AND(VLOOKUP(B435,Sep!B:AZ,6,FALSE)="",VLOOKUP(B435,Sep!B:AZ,50,FALSE)&gt;0),VLOOKUP(B435,Sep!B:AZ,50,FALSE)*24,"")</f>
        <v/>
      </c>
      <c r="I435" s="30" t="str">
        <f>IF(AND(NETWORKDAYS(B435,B435,Feiertage)=1,VLOOKUP(B435,Sep!B:AZ,6,FALSE)="U"),"Urlaub","")</f>
        <v/>
      </c>
      <c r="J435" s="34" t="str">
        <f ca="1">IF(AND(VLOOKUP(B435,Sep!B:AZ,6,FALSE)="",VLOOKUP(B435,Sep!B:AZ,22,FALSE)&lt;0),"Absetzen von","")</f>
        <v/>
      </c>
      <c r="K435" s="263"/>
      <c r="M435" s="316" t="str">
        <f ca="1">IF(VLOOKUP(B435,Sep!B:AZ,22,FALSE)&lt;&gt;0,VLOOKUP(B435,Sep!B:AZ,22,FALSE),"")</f>
        <v/>
      </c>
      <c r="N435" s="327"/>
    </row>
    <row r="436" spans="2:14" x14ac:dyDescent="0.25">
      <c r="B436" s="245">
        <f>Sep!F14</f>
        <v>42253</v>
      </c>
      <c r="C436" s="35">
        <f t="shared" si="5"/>
        <v>42253</v>
      </c>
      <c r="D436" s="17" t="str">
        <f>IF(AND(VLOOKUP(B436,Sep!B:AZ,8,FALSE)&gt;0,VLOOKUP(B436,Sep!B:AZ,6,FALSE)=""), CONCATENATE(TEXT(VLOOKUP(B436,Sep!B:AZ,7,FALSE),"hh:mm"), "-", TEXT(VLOOKUP(B436,Sep!B:AZ,8,FALSE),"[hh]:mm")," Uhr ", IF(VLOOKUP(B436,Sep!B:AZ,12,FALSE)&gt;0, CONCATENATE("und ",TEXT(VLOOKUP(B436,Sep!B:AZ,12,FALSE),"hh:mm"), "-", TEXT(VLOOKUP(B436,Sep!B:AZ,13,FALSE),"[hh]:mm")," Uhr "),"")), IF(VLOOKUP(B436,Sep!B:AZ,6,FALSE)="","",VLOOKUP(VLOOKUP(B436,Sep!B:AZ,6,FALSE),Legende_Code,2,FALSE)))</f>
        <v/>
      </c>
      <c r="E436" s="16" t="str">
        <f>IF(AND(VLOOKUP(B436,Sep!B:AZ,6,FALSE)="", WEEKDAY(B436,2)=6,VLOOKUP(B436,Sep!B:AZ,48,FALSE)&gt;0),VLOOKUP(B436,Sep!B:AZ,48,FALSE)*24,"")</f>
        <v/>
      </c>
      <c r="F436" s="16" t="str">
        <f>IF(AND(VLOOKUP(B436,Sep!B:AZ,6,FALSE)="", WEEKDAY(B436,2)=7,VLOOKUP(B436,Sep!B:AZ,49,FALSE)&gt;0),VLOOKUP(B436,Sep!B:AZ,49,FALSE)*24,"")</f>
        <v/>
      </c>
      <c r="G436" s="16" t="str">
        <f>IF(AND(VLOOKUP(B436,Sep!B:AZ,6,FALSE)="",VLOOKUP(B436,Sep!B:AZ,46,FALSE)&gt;0),VLOOKUP(B436,Sep!B:AZ,46,FALSE)*24,"")</f>
        <v/>
      </c>
      <c r="H436" s="36" t="str">
        <f>IF(AND(VLOOKUP(B436,Sep!B:AZ,6,FALSE)="",VLOOKUP(B436,Sep!B:AZ,50,FALSE)&gt;0),VLOOKUP(B436,Sep!B:AZ,50,FALSE)*24,"")</f>
        <v/>
      </c>
      <c r="I436" s="30" t="str">
        <f>IF(AND(NETWORKDAYS(B436,B436,Feiertage)=1,VLOOKUP(B436,Sep!B:AZ,6,FALSE)="U"),"Urlaub","")</f>
        <v/>
      </c>
      <c r="J436" s="34" t="str">
        <f ca="1">IF(AND(VLOOKUP(B436,Sep!B:AZ,6,FALSE)="",VLOOKUP(B436,Sep!B:AZ,22,FALSE)&lt;0),"Absetzen von","")</f>
        <v/>
      </c>
      <c r="K436" s="263"/>
      <c r="M436" s="316" t="str">
        <f ca="1">IF(VLOOKUP(B436,Sep!B:AZ,22,FALSE)&lt;&gt;0,VLOOKUP(B436,Sep!B:AZ,22,FALSE),"")</f>
        <v/>
      </c>
      <c r="N436" s="327"/>
    </row>
    <row r="437" spans="2:14" x14ac:dyDescent="0.25">
      <c r="B437" s="245">
        <f>Sep!F15</f>
        <v>42254</v>
      </c>
      <c r="C437" s="35">
        <f t="shared" si="5"/>
        <v>42254</v>
      </c>
      <c r="D437" s="17" t="str">
        <f>IF(AND(VLOOKUP(B437,Sep!B:AZ,8,FALSE)&gt;0,VLOOKUP(B437,Sep!B:AZ,6,FALSE)=""), CONCATENATE(TEXT(VLOOKUP(B437,Sep!B:AZ,7,FALSE),"hh:mm"), "-", TEXT(VLOOKUP(B437,Sep!B:AZ,8,FALSE),"[hh]:mm")," Uhr ", IF(VLOOKUP(B437,Sep!B:AZ,12,FALSE)&gt;0, CONCATENATE("und ",TEXT(VLOOKUP(B437,Sep!B:AZ,12,FALSE),"hh:mm"), "-", TEXT(VLOOKUP(B437,Sep!B:AZ,13,FALSE),"[hh]:mm")," Uhr "),"")), IF(VLOOKUP(B437,Sep!B:AZ,6,FALSE)="","",VLOOKUP(VLOOKUP(B437,Sep!B:AZ,6,FALSE),Legende_Code,2,FALSE)))</f>
        <v/>
      </c>
      <c r="E437" s="16" t="str">
        <f>IF(AND(VLOOKUP(B437,Sep!B:AZ,6,FALSE)="", WEEKDAY(B437,2)=6,VLOOKUP(B437,Sep!B:AZ,48,FALSE)&gt;0),VLOOKUP(B437,Sep!B:AZ,48,FALSE)*24,"")</f>
        <v/>
      </c>
      <c r="F437" s="16" t="str">
        <f>IF(AND(VLOOKUP(B437,Sep!B:AZ,6,FALSE)="", WEEKDAY(B437,2)=7,VLOOKUP(B437,Sep!B:AZ,49,FALSE)&gt;0),VLOOKUP(B437,Sep!B:AZ,49,FALSE)*24,"")</f>
        <v/>
      </c>
      <c r="G437" s="16" t="str">
        <f>IF(AND(VLOOKUP(B437,Sep!B:AZ,6,FALSE)="",VLOOKUP(B437,Sep!B:AZ,46,FALSE)&gt;0),VLOOKUP(B437,Sep!B:AZ,46,FALSE)*24,"")</f>
        <v/>
      </c>
      <c r="H437" s="36" t="str">
        <f>IF(AND(VLOOKUP(B437,Sep!B:AZ,6,FALSE)="",VLOOKUP(B437,Sep!B:AZ,50,FALSE)&gt;0),VLOOKUP(B437,Sep!B:AZ,50,FALSE)*24,"")</f>
        <v/>
      </c>
      <c r="I437" s="30" t="str">
        <f>IF(AND(NETWORKDAYS(B437,B437,Feiertage)=1,VLOOKUP(B437,Sep!B:AZ,6,FALSE)="U"),"Urlaub","")</f>
        <v/>
      </c>
      <c r="J437" s="34" t="str">
        <f ca="1">IF(AND(VLOOKUP(B437,Sep!B:AZ,6,FALSE)="",VLOOKUP(B437,Sep!B:AZ,22,FALSE)&lt;0),"Absetzen von","")</f>
        <v/>
      </c>
      <c r="K437" s="263"/>
      <c r="M437" s="316" t="str">
        <f ca="1">IF(VLOOKUP(B437,Sep!B:AZ,22,FALSE)&lt;&gt;0,VLOOKUP(B437,Sep!B:AZ,22,FALSE),"")</f>
        <v/>
      </c>
      <c r="N437" s="327"/>
    </row>
    <row r="438" spans="2:14" x14ac:dyDescent="0.25">
      <c r="B438" s="245">
        <f>Sep!F16</f>
        <v>42255</v>
      </c>
      <c r="C438" s="35">
        <f t="shared" si="5"/>
        <v>42255</v>
      </c>
      <c r="D438" s="17" t="str">
        <f>IF(AND(VLOOKUP(B438,Sep!B:AZ,8,FALSE)&gt;0,VLOOKUP(B438,Sep!B:AZ,6,FALSE)=""), CONCATENATE(TEXT(VLOOKUP(B438,Sep!B:AZ,7,FALSE),"hh:mm"), "-", TEXT(VLOOKUP(B438,Sep!B:AZ,8,FALSE),"[hh]:mm")," Uhr ", IF(VLOOKUP(B438,Sep!B:AZ,12,FALSE)&gt;0, CONCATENATE("und ",TEXT(VLOOKUP(B438,Sep!B:AZ,12,FALSE),"hh:mm"), "-", TEXT(VLOOKUP(B438,Sep!B:AZ,13,FALSE),"[hh]:mm")," Uhr "),"")), IF(VLOOKUP(B438,Sep!B:AZ,6,FALSE)="","",VLOOKUP(VLOOKUP(B438,Sep!B:AZ,6,FALSE),Legende_Code,2,FALSE)))</f>
        <v/>
      </c>
      <c r="E438" s="16" t="str">
        <f>IF(AND(VLOOKUP(B438,Sep!B:AZ,6,FALSE)="", WEEKDAY(B438,2)=6,VLOOKUP(B438,Sep!B:AZ,48,FALSE)&gt;0),VLOOKUP(B438,Sep!B:AZ,48,FALSE)*24,"")</f>
        <v/>
      </c>
      <c r="F438" s="16" t="str">
        <f>IF(AND(VLOOKUP(B438,Sep!B:AZ,6,FALSE)="", WEEKDAY(B438,2)=7,VLOOKUP(B438,Sep!B:AZ,49,FALSE)&gt;0),VLOOKUP(B438,Sep!B:AZ,49,FALSE)*24,"")</f>
        <v/>
      </c>
      <c r="G438" s="16" t="str">
        <f>IF(AND(VLOOKUP(B438,Sep!B:AZ,6,FALSE)="",VLOOKUP(B438,Sep!B:AZ,46,FALSE)&gt;0),VLOOKUP(B438,Sep!B:AZ,46,FALSE)*24,"")</f>
        <v/>
      </c>
      <c r="H438" s="36" t="str">
        <f>IF(AND(VLOOKUP(B438,Sep!B:AZ,6,FALSE)="",VLOOKUP(B438,Sep!B:AZ,50,FALSE)&gt;0),VLOOKUP(B438,Sep!B:AZ,50,FALSE)*24,"")</f>
        <v/>
      </c>
      <c r="I438" s="30" t="str">
        <f>IF(AND(NETWORKDAYS(B438,B438,Feiertage)=1,VLOOKUP(B438,Sep!B:AZ,6,FALSE)="U"),"Urlaub","")</f>
        <v/>
      </c>
      <c r="J438" s="34" t="str">
        <f ca="1">IF(AND(VLOOKUP(B438,Sep!B:AZ,6,FALSE)="",VLOOKUP(B438,Sep!B:AZ,22,FALSE)&lt;0),"Absetzen von","")</f>
        <v/>
      </c>
      <c r="K438" s="263"/>
      <c r="M438" s="316" t="str">
        <f ca="1">IF(VLOOKUP(B438,Sep!B:AZ,22,FALSE)&lt;&gt;0,VLOOKUP(B438,Sep!B:AZ,22,FALSE),"")</f>
        <v/>
      </c>
      <c r="N438" s="327"/>
    </row>
    <row r="439" spans="2:14" x14ac:dyDescent="0.25">
      <c r="B439" s="245">
        <f>Sep!F17</f>
        <v>42256</v>
      </c>
      <c r="C439" s="35">
        <f t="shared" si="5"/>
        <v>42256</v>
      </c>
      <c r="D439" s="17" t="str">
        <f>IF(AND(VLOOKUP(B439,Sep!B:AZ,8,FALSE)&gt;0,VLOOKUP(B439,Sep!B:AZ,6,FALSE)=""), CONCATENATE(TEXT(VLOOKUP(B439,Sep!B:AZ,7,FALSE),"hh:mm"), "-", TEXT(VLOOKUP(B439,Sep!B:AZ,8,FALSE),"[hh]:mm")," Uhr ", IF(VLOOKUP(B439,Sep!B:AZ,12,FALSE)&gt;0, CONCATENATE("und ",TEXT(VLOOKUP(B439,Sep!B:AZ,12,FALSE),"hh:mm"), "-", TEXT(VLOOKUP(B439,Sep!B:AZ,13,FALSE),"[hh]:mm")," Uhr "),"")), IF(VLOOKUP(B439,Sep!B:AZ,6,FALSE)="","",VLOOKUP(VLOOKUP(B439,Sep!B:AZ,6,FALSE),Legende_Code,2,FALSE)))</f>
        <v/>
      </c>
      <c r="E439" s="16" t="str">
        <f>IF(AND(VLOOKUP(B439,Sep!B:AZ,6,FALSE)="", WEEKDAY(B439,2)=6,VLOOKUP(B439,Sep!B:AZ,48,FALSE)&gt;0),VLOOKUP(B439,Sep!B:AZ,48,FALSE)*24,"")</f>
        <v/>
      </c>
      <c r="F439" s="16" t="str">
        <f>IF(AND(VLOOKUP(B439,Sep!B:AZ,6,FALSE)="", WEEKDAY(B439,2)=7,VLOOKUP(B439,Sep!B:AZ,49,FALSE)&gt;0),VLOOKUP(B439,Sep!B:AZ,49,FALSE)*24,"")</f>
        <v/>
      </c>
      <c r="G439" s="16" t="str">
        <f>IF(AND(VLOOKUP(B439,Sep!B:AZ,6,FALSE)="",VLOOKUP(B439,Sep!B:AZ,46,FALSE)&gt;0),VLOOKUP(B439,Sep!B:AZ,46,FALSE)*24,"")</f>
        <v/>
      </c>
      <c r="H439" s="36" t="str">
        <f>IF(AND(VLOOKUP(B439,Sep!B:AZ,6,FALSE)="",VLOOKUP(B439,Sep!B:AZ,50,FALSE)&gt;0),VLOOKUP(B439,Sep!B:AZ,50,FALSE)*24,"")</f>
        <v/>
      </c>
      <c r="I439" s="30" t="str">
        <f>IF(AND(NETWORKDAYS(B439,B439,Feiertage)=1,VLOOKUP(B439,Sep!B:AZ,6,FALSE)="U"),"Urlaub","")</f>
        <v/>
      </c>
      <c r="J439" s="34" t="str">
        <f ca="1">IF(AND(VLOOKUP(B439,Sep!B:AZ,6,FALSE)="",VLOOKUP(B439,Sep!B:AZ,22,FALSE)&lt;0),"Absetzen von","")</f>
        <v/>
      </c>
      <c r="K439" s="263"/>
      <c r="M439" s="316" t="str">
        <f ca="1">IF(VLOOKUP(B439,Sep!B:AZ,22,FALSE)&lt;&gt;0,VLOOKUP(B439,Sep!B:AZ,22,FALSE),"")</f>
        <v/>
      </c>
      <c r="N439" s="327"/>
    </row>
    <row r="440" spans="2:14" x14ac:dyDescent="0.25">
      <c r="B440" s="245">
        <f>Sep!F18</f>
        <v>42257</v>
      </c>
      <c r="C440" s="35">
        <f t="shared" si="5"/>
        <v>42257</v>
      </c>
      <c r="D440" s="17" t="str">
        <f>IF(AND(VLOOKUP(B440,Sep!B:AZ,8,FALSE)&gt;0,VLOOKUP(B440,Sep!B:AZ,6,FALSE)=""), CONCATENATE(TEXT(VLOOKUP(B440,Sep!B:AZ,7,FALSE),"hh:mm"), "-", TEXT(VLOOKUP(B440,Sep!B:AZ,8,FALSE),"[hh]:mm")," Uhr ", IF(VLOOKUP(B440,Sep!B:AZ,12,FALSE)&gt;0, CONCATENATE("und ",TEXT(VLOOKUP(B440,Sep!B:AZ,12,FALSE),"hh:mm"), "-", TEXT(VLOOKUP(B440,Sep!B:AZ,13,FALSE),"[hh]:mm")," Uhr "),"")), IF(VLOOKUP(B440,Sep!B:AZ,6,FALSE)="","",VLOOKUP(VLOOKUP(B440,Sep!B:AZ,6,FALSE),Legende_Code,2,FALSE)))</f>
        <v/>
      </c>
      <c r="E440" s="16" t="str">
        <f>IF(AND(VLOOKUP(B440,Sep!B:AZ,6,FALSE)="", WEEKDAY(B440,2)=6,VLOOKUP(B440,Sep!B:AZ,48,FALSE)&gt;0),VLOOKUP(B440,Sep!B:AZ,48,FALSE)*24,"")</f>
        <v/>
      </c>
      <c r="F440" s="16" t="str">
        <f>IF(AND(VLOOKUP(B440,Sep!B:AZ,6,FALSE)="", WEEKDAY(B440,2)=7,VLOOKUP(B440,Sep!B:AZ,49,FALSE)&gt;0),VLOOKUP(B440,Sep!B:AZ,49,FALSE)*24,"")</f>
        <v/>
      </c>
      <c r="G440" s="16" t="str">
        <f>IF(AND(VLOOKUP(B440,Sep!B:AZ,6,FALSE)="",VLOOKUP(B440,Sep!B:AZ,46,FALSE)&gt;0),VLOOKUP(B440,Sep!B:AZ,46,FALSE)*24,"")</f>
        <v/>
      </c>
      <c r="H440" s="36" t="str">
        <f>IF(AND(VLOOKUP(B440,Sep!B:AZ,6,FALSE)="",VLOOKUP(B440,Sep!B:AZ,50,FALSE)&gt;0),VLOOKUP(B440,Sep!B:AZ,50,FALSE)*24,"")</f>
        <v/>
      </c>
      <c r="I440" s="30" t="str">
        <f>IF(AND(NETWORKDAYS(B440,B440,Feiertage)=1,VLOOKUP(B440,Sep!B:AZ,6,FALSE)="U"),"Urlaub","")</f>
        <v/>
      </c>
      <c r="J440" s="34" t="str">
        <f ca="1">IF(AND(VLOOKUP(B440,Sep!B:AZ,6,FALSE)="",VLOOKUP(B440,Sep!B:AZ,22,FALSE)&lt;0),"Absetzen von","")</f>
        <v/>
      </c>
      <c r="K440" s="263"/>
      <c r="M440" s="316" t="str">
        <f ca="1">IF(VLOOKUP(B440,Sep!B:AZ,22,FALSE)&lt;&gt;0,VLOOKUP(B440,Sep!B:AZ,22,FALSE),"")</f>
        <v/>
      </c>
      <c r="N440" s="327"/>
    </row>
    <row r="441" spans="2:14" x14ac:dyDescent="0.25">
      <c r="B441" s="245">
        <f>Sep!F19</f>
        <v>42258</v>
      </c>
      <c r="C441" s="35">
        <f t="shared" si="5"/>
        <v>42258</v>
      </c>
      <c r="D441" s="17" t="str">
        <f>IF(AND(VLOOKUP(B441,Sep!B:AZ,8,FALSE)&gt;0,VLOOKUP(B441,Sep!B:AZ,6,FALSE)=""), CONCATENATE(TEXT(VLOOKUP(B441,Sep!B:AZ,7,FALSE),"hh:mm"), "-", TEXT(VLOOKUP(B441,Sep!B:AZ,8,FALSE),"[hh]:mm")," Uhr ", IF(VLOOKUP(B441,Sep!B:AZ,12,FALSE)&gt;0, CONCATENATE("und ",TEXT(VLOOKUP(B441,Sep!B:AZ,12,FALSE),"hh:mm"), "-", TEXT(VLOOKUP(B441,Sep!B:AZ,13,FALSE),"[hh]:mm")," Uhr "),"")), IF(VLOOKUP(B441,Sep!B:AZ,6,FALSE)="","",VLOOKUP(VLOOKUP(B441,Sep!B:AZ,6,FALSE),Legende_Code,2,FALSE)))</f>
        <v/>
      </c>
      <c r="E441" s="16" t="str">
        <f>IF(AND(VLOOKUP(B441,Sep!B:AZ,6,FALSE)="", WEEKDAY(B441,2)=6,VLOOKUP(B441,Sep!B:AZ,48,FALSE)&gt;0),VLOOKUP(B441,Sep!B:AZ,48,FALSE)*24,"")</f>
        <v/>
      </c>
      <c r="F441" s="16" t="str">
        <f>IF(AND(VLOOKUP(B441,Sep!B:AZ,6,FALSE)="", WEEKDAY(B441,2)=7,VLOOKUP(B441,Sep!B:AZ,49,FALSE)&gt;0),VLOOKUP(B441,Sep!B:AZ,49,FALSE)*24,"")</f>
        <v/>
      </c>
      <c r="G441" s="16" t="str">
        <f>IF(AND(VLOOKUP(B441,Sep!B:AZ,6,FALSE)="",VLOOKUP(B441,Sep!B:AZ,46,FALSE)&gt;0),VLOOKUP(B441,Sep!B:AZ,46,FALSE)*24,"")</f>
        <v/>
      </c>
      <c r="H441" s="36" t="str">
        <f>IF(AND(VLOOKUP(B441,Sep!B:AZ,6,FALSE)="",VLOOKUP(B441,Sep!B:AZ,50,FALSE)&gt;0),VLOOKUP(B441,Sep!B:AZ,50,FALSE)*24,"")</f>
        <v/>
      </c>
      <c r="I441" s="30" t="str">
        <f>IF(AND(NETWORKDAYS(B441,B441,Feiertage)=1,VLOOKUP(B441,Sep!B:AZ,6,FALSE)="U"),"Urlaub","")</f>
        <v/>
      </c>
      <c r="J441" s="34" t="str">
        <f ca="1">IF(AND(VLOOKUP(B441,Sep!B:AZ,6,FALSE)="",VLOOKUP(B441,Sep!B:AZ,22,FALSE)&lt;0),"Absetzen von","")</f>
        <v/>
      </c>
      <c r="K441" s="263"/>
      <c r="M441" s="316" t="str">
        <f ca="1">IF(VLOOKUP(B441,Sep!B:AZ,22,FALSE)&lt;&gt;0,VLOOKUP(B441,Sep!B:AZ,22,FALSE),"")</f>
        <v/>
      </c>
      <c r="N441" s="327"/>
    </row>
    <row r="442" spans="2:14" x14ac:dyDescent="0.25">
      <c r="B442" s="245">
        <f>Sep!F20</f>
        <v>42259</v>
      </c>
      <c r="C442" s="35">
        <f t="shared" si="5"/>
        <v>42259</v>
      </c>
      <c r="D442" s="17" t="str">
        <f>IF(AND(VLOOKUP(B442,Sep!B:AZ,8,FALSE)&gt;0,VLOOKUP(B442,Sep!B:AZ,6,FALSE)=""), CONCATENATE(TEXT(VLOOKUP(B442,Sep!B:AZ,7,FALSE),"hh:mm"), "-", TEXT(VLOOKUP(B442,Sep!B:AZ,8,FALSE),"[hh]:mm")," Uhr ", IF(VLOOKUP(B442,Sep!B:AZ,12,FALSE)&gt;0, CONCATENATE("und ",TEXT(VLOOKUP(B442,Sep!B:AZ,12,FALSE),"hh:mm"), "-", TEXT(VLOOKUP(B442,Sep!B:AZ,13,FALSE),"[hh]:mm")," Uhr "),"")), IF(VLOOKUP(B442,Sep!B:AZ,6,FALSE)="","",VLOOKUP(VLOOKUP(B442,Sep!B:AZ,6,FALSE),Legende_Code,2,FALSE)))</f>
        <v/>
      </c>
      <c r="E442" s="16" t="str">
        <f>IF(AND(VLOOKUP(B442,Sep!B:AZ,6,FALSE)="", WEEKDAY(B442,2)=6,VLOOKUP(B442,Sep!B:AZ,48,FALSE)&gt;0),VLOOKUP(B442,Sep!B:AZ,48,FALSE)*24,"")</f>
        <v/>
      </c>
      <c r="F442" s="16" t="str">
        <f>IF(AND(VLOOKUP(B442,Sep!B:AZ,6,FALSE)="", WEEKDAY(B442,2)=7,VLOOKUP(B442,Sep!B:AZ,49,FALSE)&gt;0),VLOOKUP(B442,Sep!B:AZ,49,FALSE)*24,"")</f>
        <v/>
      </c>
      <c r="G442" s="16" t="str">
        <f>IF(AND(VLOOKUP(B442,Sep!B:AZ,6,FALSE)="",VLOOKUP(B442,Sep!B:AZ,46,FALSE)&gt;0),VLOOKUP(B442,Sep!B:AZ,46,FALSE)*24,"")</f>
        <v/>
      </c>
      <c r="H442" s="36" t="str">
        <f>IF(AND(VLOOKUP(B442,Sep!B:AZ,6,FALSE)="",VLOOKUP(B442,Sep!B:AZ,50,FALSE)&gt;0),VLOOKUP(B442,Sep!B:AZ,50,FALSE)*24,"")</f>
        <v/>
      </c>
      <c r="I442" s="30" t="str">
        <f>IF(AND(NETWORKDAYS(B442,B442,Feiertage)=1,VLOOKUP(B442,Sep!B:AZ,6,FALSE)="U"),"Urlaub","")</f>
        <v/>
      </c>
      <c r="J442" s="34" t="str">
        <f ca="1">IF(AND(VLOOKUP(B442,Sep!B:AZ,6,FALSE)="",VLOOKUP(B442,Sep!B:AZ,22,FALSE)&lt;0),"Absetzen von","")</f>
        <v/>
      </c>
      <c r="K442" s="263"/>
      <c r="M442" s="316" t="str">
        <f ca="1">IF(VLOOKUP(B442,Sep!B:AZ,22,FALSE)&lt;&gt;0,VLOOKUP(B442,Sep!B:AZ,22,FALSE),"")</f>
        <v/>
      </c>
      <c r="N442" s="327"/>
    </row>
    <row r="443" spans="2:14" x14ac:dyDescent="0.25">
      <c r="B443" s="245">
        <f>Sep!F21</f>
        <v>42260</v>
      </c>
      <c r="C443" s="35">
        <f t="shared" si="5"/>
        <v>42260</v>
      </c>
      <c r="D443" s="17" t="str">
        <f>IF(AND(VLOOKUP(B443,Sep!B:AZ,8,FALSE)&gt;0,VLOOKUP(B443,Sep!B:AZ,6,FALSE)=""), CONCATENATE(TEXT(VLOOKUP(B443,Sep!B:AZ,7,FALSE),"hh:mm"), "-", TEXT(VLOOKUP(B443,Sep!B:AZ,8,FALSE),"[hh]:mm")," Uhr ", IF(VLOOKUP(B443,Sep!B:AZ,12,FALSE)&gt;0, CONCATENATE("und ",TEXT(VLOOKUP(B443,Sep!B:AZ,12,FALSE),"hh:mm"), "-", TEXT(VLOOKUP(B443,Sep!B:AZ,13,FALSE),"[hh]:mm")," Uhr "),"")), IF(VLOOKUP(B443,Sep!B:AZ,6,FALSE)="","",VLOOKUP(VLOOKUP(B443,Sep!B:AZ,6,FALSE),Legende_Code,2,FALSE)))</f>
        <v/>
      </c>
      <c r="E443" s="16" t="str">
        <f>IF(AND(VLOOKUP(B443,Sep!B:AZ,6,FALSE)="", WEEKDAY(B443,2)=6,VLOOKUP(B443,Sep!B:AZ,48,FALSE)&gt;0),VLOOKUP(B443,Sep!B:AZ,48,FALSE)*24,"")</f>
        <v/>
      </c>
      <c r="F443" s="16" t="str">
        <f>IF(AND(VLOOKUP(B443,Sep!B:AZ,6,FALSE)="", WEEKDAY(B443,2)=7,VLOOKUP(B443,Sep!B:AZ,49,FALSE)&gt;0),VLOOKUP(B443,Sep!B:AZ,49,FALSE)*24,"")</f>
        <v/>
      </c>
      <c r="G443" s="16" t="str">
        <f>IF(AND(VLOOKUP(B443,Sep!B:AZ,6,FALSE)="",VLOOKUP(B443,Sep!B:AZ,46,FALSE)&gt;0),VLOOKUP(B443,Sep!B:AZ,46,FALSE)*24,"")</f>
        <v/>
      </c>
      <c r="H443" s="36" t="str">
        <f>IF(AND(VLOOKUP(B443,Sep!B:AZ,6,FALSE)="",VLOOKUP(B443,Sep!B:AZ,50,FALSE)&gt;0),VLOOKUP(B443,Sep!B:AZ,50,FALSE)*24,"")</f>
        <v/>
      </c>
      <c r="I443" s="30" t="str">
        <f>IF(AND(NETWORKDAYS(B443,B443,Feiertage)=1,VLOOKUP(B443,Sep!B:AZ,6,FALSE)="U"),"Urlaub","")</f>
        <v/>
      </c>
      <c r="J443" s="34" t="str">
        <f ca="1">IF(AND(VLOOKUP(B443,Sep!B:AZ,6,FALSE)="",VLOOKUP(B443,Sep!B:AZ,22,FALSE)&lt;0),"Absetzen von","")</f>
        <v/>
      </c>
      <c r="K443" s="263"/>
      <c r="M443" s="316" t="str">
        <f ca="1">IF(VLOOKUP(B443,Sep!B:AZ,22,FALSE)&lt;&gt;0,VLOOKUP(B443,Sep!B:AZ,22,FALSE),"")</f>
        <v/>
      </c>
      <c r="N443" s="327"/>
    </row>
    <row r="444" spans="2:14" x14ac:dyDescent="0.25">
      <c r="B444" s="245">
        <f>Sep!F22</f>
        <v>42261</v>
      </c>
      <c r="C444" s="35">
        <f t="shared" si="5"/>
        <v>42261</v>
      </c>
      <c r="D444" s="17" t="str">
        <f>IF(AND(VLOOKUP(B444,Sep!B:AZ,8,FALSE)&gt;0,VLOOKUP(B444,Sep!B:AZ,6,FALSE)=""), CONCATENATE(TEXT(VLOOKUP(B444,Sep!B:AZ,7,FALSE),"hh:mm"), "-", TEXT(VLOOKUP(B444,Sep!B:AZ,8,FALSE),"[hh]:mm")," Uhr ", IF(VLOOKUP(B444,Sep!B:AZ,12,FALSE)&gt;0, CONCATENATE("und ",TEXT(VLOOKUP(B444,Sep!B:AZ,12,FALSE),"hh:mm"), "-", TEXT(VLOOKUP(B444,Sep!B:AZ,13,FALSE),"[hh]:mm")," Uhr "),"")), IF(VLOOKUP(B444,Sep!B:AZ,6,FALSE)="","",VLOOKUP(VLOOKUP(B444,Sep!B:AZ,6,FALSE),Legende_Code,2,FALSE)))</f>
        <v/>
      </c>
      <c r="E444" s="16" t="str">
        <f>IF(AND(VLOOKUP(B444,Sep!B:AZ,6,FALSE)="", WEEKDAY(B444,2)=6,VLOOKUP(B444,Sep!B:AZ,48,FALSE)&gt;0),VLOOKUP(B444,Sep!B:AZ,48,FALSE)*24,"")</f>
        <v/>
      </c>
      <c r="F444" s="16" t="str">
        <f>IF(AND(VLOOKUP(B444,Sep!B:AZ,6,FALSE)="", WEEKDAY(B444,2)=7,VLOOKUP(B444,Sep!B:AZ,49,FALSE)&gt;0),VLOOKUP(B444,Sep!B:AZ,49,FALSE)*24,"")</f>
        <v/>
      </c>
      <c r="G444" s="16" t="str">
        <f>IF(AND(VLOOKUP(B444,Sep!B:AZ,6,FALSE)="",VLOOKUP(B444,Sep!B:AZ,46,FALSE)&gt;0),VLOOKUP(B444,Sep!B:AZ,46,FALSE)*24,"")</f>
        <v/>
      </c>
      <c r="H444" s="36" t="str">
        <f>IF(AND(VLOOKUP(B444,Sep!B:AZ,6,FALSE)="",VLOOKUP(B444,Sep!B:AZ,50,FALSE)&gt;0),VLOOKUP(B444,Sep!B:AZ,50,FALSE)*24,"")</f>
        <v/>
      </c>
      <c r="I444" s="30" t="str">
        <f>IF(AND(NETWORKDAYS(B444,B444,Feiertage)=1,VLOOKUP(B444,Sep!B:AZ,6,FALSE)="U"),"Urlaub","")</f>
        <v/>
      </c>
      <c r="J444" s="34" t="str">
        <f ca="1">IF(AND(VLOOKUP(B444,Sep!B:AZ,6,FALSE)="",VLOOKUP(B444,Sep!B:AZ,22,FALSE)&lt;0),"Absetzen von","")</f>
        <v/>
      </c>
      <c r="K444" s="263"/>
      <c r="M444" s="316" t="str">
        <f ca="1">IF(VLOOKUP(B444,Sep!B:AZ,22,FALSE)&lt;&gt;0,VLOOKUP(B444,Sep!B:AZ,22,FALSE),"")</f>
        <v/>
      </c>
      <c r="N444" s="327"/>
    </row>
    <row r="445" spans="2:14" x14ac:dyDescent="0.25">
      <c r="B445" s="245">
        <f>Sep!F23</f>
        <v>42262</v>
      </c>
      <c r="C445" s="35">
        <f t="shared" si="5"/>
        <v>42262</v>
      </c>
      <c r="D445" s="17" t="str">
        <f>IF(AND(VLOOKUP(B445,Sep!B:AZ,8,FALSE)&gt;0,VLOOKUP(B445,Sep!B:AZ,6,FALSE)=""), CONCATENATE(TEXT(VLOOKUP(B445,Sep!B:AZ,7,FALSE),"hh:mm"), "-", TEXT(VLOOKUP(B445,Sep!B:AZ,8,FALSE),"[hh]:mm")," Uhr ", IF(VLOOKUP(B445,Sep!B:AZ,12,FALSE)&gt;0, CONCATENATE("und ",TEXT(VLOOKUP(B445,Sep!B:AZ,12,FALSE),"hh:mm"), "-", TEXT(VLOOKUP(B445,Sep!B:AZ,13,FALSE),"[hh]:mm")," Uhr "),"")), IF(VLOOKUP(B445,Sep!B:AZ,6,FALSE)="","",VLOOKUP(VLOOKUP(B445,Sep!B:AZ,6,FALSE),Legende_Code,2,FALSE)))</f>
        <v/>
      </c>
      <c r="E445" s="16" t="str">
        <f>IF(AND(VLOOKUP(B445,Sep!B:AZ,6,FALSE)="", WEEKDAY(B445,2)=6,VLOOKUP(B445,Sep!B:AZ,48,FALSE)&gt;0),VLOOKUP(B445,Sep!B:AZ,48,FALSE)*24,"")</f>
        <v/>
      </c>
      <c r="F445" s="16" t="str">
        <f>IF(AND(VLOOKUP(B445,Sep!B:AZ,6,FALSE)="", WEEKDAY(B445,2)=7,VLOOKUP(B445,Sep!B:AZ,49,FALSE)&gt;0),VLOOKUP(B445,Sep!B:AZ,49,FALSE)*24,"")</f>
        <v/>
      </c>
      <c r="G445" s="16" t="str">
        <f>IF(AND(VLOOKUP(B445,Sep!B:AZ,6,FALSE)="",VLOOKUP(B445,Sep!B:AZ,46,FALSE)&gt;0),VLOOKUP(B445,Sep!B:AZ,46,FALSE)*24,"")</f>
        <v/>
      </c>
      <c r="H445" s="36" t="str">
        <f>IF(AND(VLOOKUP(B445,Sep!B:AZ,6,FALSE)="",VLOOKUP(B445,Sep!B:AZ,50,FALSE)&gt;0),VLOOKUP(B445,Sep!B:AZ,50,FALSE)*24,"")</f>
        <v/>
      </c>
      <c r="I445" s="30" t="str">
        <f>IF(AND(NETWORKDAYS(B445,B445,Feiertage)=1,VLOOKUP(B445,Sep!B:AZ,6,FALSE)="U"),"Urlaub","")</f>
        <v/>
      </c>
      <c r="J445" s="34" t="str">
        <f ca="1">IF(AND(VLOOKUP(B445,Sep!B:AZ,6,FALSE)="",VLOOKUP(B445,Sep!B:AZ,22,FALSE)&lt;0),"Absetzen von","")</f>
        <v/>
      </c>
      <c r="K445" s="263"/>
      <c r="M445" s="316" t="str">
        <f ca="1">IF(VLOOKUP(B445,Sep!B:AZ,22,FALSE)&lt;&gt;0,VLOOKUP(B445,Sep!B:AZ,22,FALSE),"")</f>
        <v/>
      </c>
      <c r="N445" s="327"/>
    </row>
    <row r="446" spans="2:14" x14ac:dyDescent="0.25">
      <c r="B446" s="245">
        <f>Sep!F24</f>
        <v>42263</v>
      </c>
      <c r="C446" s="35">
        <f t="shared" si="5"/>
        <v>42263</v>
      </c>
      <c r="D446" s="17" t="str">
        <f>IF(AND(VLOOKUP(B446,Sep!B:AZ,8,FALSE)&gt;0,VLOOKUP(B446,Sep!B:AZ,6,FALSE)=""), CONCATENATE(TEXT(VLOOKUP(B446,Sep!B:AZ,7,FALSE),"hh:mm"), "-", TEXT(VLOOKUP(B446,Sep!B:AZ,8,FALSE),"[hh]:mm")," Uhr ", IF(VLOOKUP(B446,Sep!B:AZ,12,FALSE)&gt;0, CONCATENATE("und ",TEXT(VLOOKUP(B446,Sep!B:AZ,12,FALSE),"hh:mm"), "-", TEXT(VLOOKUP(B446,Sep!B:AZ,13,FALSE),"[hh]:mm")," Uhr "),"")), IF(VLOOKUP(B446,Sep!B:AZ,6,FALSE)="","",VLOOKUP(VLOOKUP(B446,Sep!B:AZ,6,FALSE),Legende_Code,2,FALSE)))</f>
        <v/>
      </c>
      <c r="E446" s="16" t="str">
        <f>IF(AND(VLOOKUP(B446,Sep!B:AZ,6,FALSE)="", WEEKDAY(B446,2)=6,VLOOKUP(B446,Sep!B:AZ,48,FALSE)&gt;0),VLOOKUP(B446,Sep!B:AZ,48,FALSE)*24,"")</f>
        <v/>
      </c>
      <c r="F446" s="16" t="str">
        <f>IF(AND(VLOOKUP(B446,Sep!B:AZ,6,FALSE)="", WEEKDAY(B446,2)=7,VLOOKUP(B446,Sep!B:AZ,49,FALSE)&gt;0),VLOOKUP(B446,Sep!B:AZ,49,FALSE)*24,"")</f>
        <v/>
      </c>
      <c r="G446" s="16" t="str">
        <f>IF(AND(VLOOKUP(B446,Sep!B:AZ,6,FALSE)="",VLOOKUP(B446,Sep!B:AZ,46,FALSE)&gt;0),VLOOKUP(B446,Sep!B:AZ,46,FALSE)*24,"")</f>
        <v/>
      </c>
      <c r="H446" s="36" t="str">
        <f>IF(AND(VLOOKUP(B446,Sep!B:AZ,6,FALSE)="",VLOOKUP(B446,Sep!B:AZ,50,FALSE)&gt;0),VLOOKUP(B446,Sep!B:AZ,50,FALSE)*24,"")</f>
        <v/>
      </c>
      <c r="I446" s="30" t="str">
        <f>IF(AND(NETWORKDAYS(B446,B446,Feiertage)=1,VLOOKUP(B446,Sep!B:AZ,6,FALSE)="U"),"Urlaub","")</f>
        <v/>
      </c>
      <c r="J446" s="34" t="str">
        <f ca="1">IF(AND(VLOOKUP(B446,Sep!B:AZ,6,FALSE)="",VLOOKUP(B446,Sep!B:AZ,22,FALSE)&lt;0),"Absetzen von","")</f>
        <v/>
      </c>
      <c r="K446" s="263"/>
      <c r="M446" s="316" t="str">
        <f ca="1">IF(VLOOKUP(B446,Sep!B:AZ,22,FALSE)&lt;&gt;0,VLOOKUP(B446,Sep!B:AZ,22,FALSE),"")</f>
        <v/>
      </c>
      <c r="N446" s="327"/>
    </row>
    <row r="447" spans="2:14" x14ac:dyDescent="0.25">
      <c r="B447" s="245">
        <f>Sep!F25</f>
        <v>42264</v>
      </c>
      <c r="C447" s="35">
        <f t="shared" si="5"/>
        <v>42264</v>
      </c>
      <c r="D447" s="17" t="str">
        <f>IF(AND(VLOOKUP(B447,Sep!B:AZ,8,FALSE)&gt;0,VLOOKUP(B447,Sep!B:AZ,6,FALSE)=""), CONCATENATE(TEXT(VLOOKUP(B447,Sep!B:AZ,7,FALSE),"hh:mm"), "-", TEXT(VLOOKUP(B447,Sep!B:AZ,8,FALSE),"[hh]:mm")," Uhr ", IF(VLOOKUP(B447,Sep!B:AZ,12,FALSE)&gt;0, CONCATENATE("und ",TEXT(VLOOKUP(B447,Sep!B:AZ,12,FALSE),"hh:mm"), "-", TEXT(VLOOKUP(B447,Sep!B:AZ,13,FALSE),"[hh]:mm")," Uhr "),"")), IF(VLOOKUP(B447,Sep!B:AZ,6,FALSE)="","",VLOOKUP(VLOOKUP(B447,Sep!B:AZ,6,FALSE),Legende_Code,2,FALSE)))</f>
        <v/>
      </c>
      <c r="E447" s="16" t="str">
        <f>IF(AND(VLOOKUP(B447,Sep!B:AZ,6,FALSE)="", WEEKDAY(B447,2)=6,VLOOKUP(B447,Sep!B:AZ,48,FALSE)&gt;0),VLOOKUP(B447,Sep!B:AZ,48,FALSE)*24,"")</f>
        <v/>
      </c>
      <c r="F447" s="16" t="str">
        <f>IF(AND(VLOOKUP(B447,Sep!B:AZ,6,FALSE)="", WEEKDAY(B447,2)=7,VLOOKUP(B447,Sep!B:AZ,49,FALSE)&gt;0),VLOOKUP(B447,Sep!B:AZ,49,FALSE)*24,"")</f>
        <v/>
      </c>
      <c r="G447" s="16" t="str">
        <f>IF(AND(VLOOKUP(B447,Sep!B:AZ,6,FALSE)="",VLOOKUP(B447,Sep!B:AZ,46,FALSE)&gt;0),VLOOKUP(B447,Sep!B:AZ,46,FALSE)*24,"")</f>
        <v/>
      </c>
      <c r="H447" s="36" t="str">
        <f>IF(AND(VLOOKUP(B447,Sep!B:AZ,6,FALSE)="",VLOOKUP(B447,Sep!B:AZ,50,FALSE)&gt;0),VLOOKUP(B447,Sep!B:AZ,50,FALSE)*24,"")</f>
        <v/>
      </c>
      <c r="I447" s="30" t="str">
        <f>IF(AND(NETWORKDAYS(B447,B447,Feiertage)=1,VLOOKUP(B447,Sep!B:AZ,6,FALSE)="U"),"Urlaub","")</f>
        <v/>
      </c>
      <c r="J447" s="34" t="str">
        <f ca="1">IF(AND(VLOOKUP(B447,Sep!B:AZ,6,FALSE)="",VLOOKUP(B447,Sep!B:AZ,22,FALSE)&lt;0),"Absetzen von","")</f>
        <v/>
      </c>
      <c r="K447" s="263"/>
      <c r="M447" s="316" t="str">
        <f ca="1">IF(VLOOKUP(B447,Sep!B:AZ,22,FALSE)&lt;&gt;0,VLOOKUP(B447,Sep!B:AZ,22,FALSE),"")</f>
        <v/>
      </c>
      <c r="N447" s="327"/>
    </row>
    <row r="448" spans="2:14" x14ac:dyDescent="0.25">
      <c r="B448" s="245">
        <f>Sep!F26</f>
        <v>42265</v>
      </c>
      <c r="C448" s="35">
        <f t="shared" si="5"/>
        <v>42265</v>
      </c>
      <c r="D448" s="17" t="str">
        <f>IF(AND(VLOOKUP(B448,Sep!B:AZ,8,FALSE)&gt;0,VLOOKUP(B448,Sep!B:AZ,6,FALSE)=""), CONCATENATE(TEXT(VLOOKUP(B448,Sep!B:AZ,7,FALSE),"hh:mm"), "-", TEXT(VLOOKUP(B448,Sep!B:AZ,8,FALSE),"[hh]:mm")," Uhr ", IF(VLOOKUP(B448,Sep!B:AZ,12,FALSE)&gt;0, CONCATENATE("und ",TEXT(VLOOKUP(B448,Sep!B:AZ,12,FALSE),"hh:mm"), "-", TEXT(VLOOKUP(B448,Sep!B:AZ,13,FALSE),"[hh]:mm")," Uhr "),"")), IF(VLOOKUP(B448,Sep!B:AZ,6,FALSE)="","",VLOOKUP(VLOOKUP(B448,Sep!B:AZ,6,FALSE),Legende_Code,2,FALSE)))</f>
        <v/>
      </c>
      <c r="E448" s="16" t="str">
        <f>IF(AND(VLOOKUP(B448,Sep!B:AZ,6,FALSE)="", WEEKDAY(B448,2)=6,VLOOKUP(B448,Sep!B:AZ,48,FALSE)&gt;0),VLOOKUP(B448,Sep!B:AZ,48,FALSE)*24,"")</f>
        <v/>
      </c>
      <c r="F448" s="16" t="str">
        <f>IF(AND(VLOOKUP(B448,Sep!B:AZ,6,FALSE)="", WEEKDAY(B448,2)=7,VLOOKUP(B448,Sep!B:AZ,49,FALSE)&gt;0),VLOOKUP(B448,Sep!B:AZ,49,FALSE)*24,"")</f>
        <v/>
      </c>
      <c r="G448" s="16" t="str">
        <f>IF(AND(VLOOKUP(B448,Sep!B:AZ,6,FALSE)="",VLOOKUP(B448,Sep!B:AZ,46,FALSE)&gt;0),VLOOKUP(B448,Sep!B:AZ,46,FALSE)*24,"")</f>
        <v/>
      </c>
      <c r="H448" s="36" t="str">
        <f>IF(AND(VLOOKUP(B448,Sep!B:AZ,6,FALSE)="",VLOOKUP(B448,Sep!B:AZ,50,FALSE)&gt;0),VLOOKUP(B448,Sep!B:AZ,50,FALSE)*24,"")</f>
        <v/>
      </c>
      <c r="I448" s="30" t="str">
        <f>IF(AND(NETWORKDAYS(B448,B448,Feiertage)=1,VLOOKUP(B448,Sep!B:AZ,6,FALSE)="U"),"Urlaub","")</f>
        <v/>
      </c>
      <c r="J448" s="34" t="str">
        <f ca="1">IF(AND(VLOOKUP(B448,Sep!B:AZ,6,FALSE)="",VLOOKUP(B448,Sep!B:AZ,22,FALSE)&lt;0),"Absetzen von","")</f>
        <v/>
      </c>
      <c r="K448" s="263"/>
      <c r="M448" s="316" t="str">
        <f ca="1">IF(VLOOKUP(B448,Sep!B:AZ,22,FALSE)&lt;&gt;0,VLOOKUP(B448,Sep!B:AZ,22,FALSE),"")</f>
        <v/>
      </c>
      <c r="N448" s="327"/>
    </row>
    <row r="449" spans="2:14" x14ac:dyDescent="0.25">
      <c r="B449" s="245">
        <f>Sep!F27</f>
        <v>42266</v>
      </c>
      <c r="C449" s="35">
        <f t="shared" si="5"/>
        <v>42266</v>
      </c>
      <c r="D449" s="17" t="str">
        <f>IF(AND(VLOOKUP(B449,Sep!B:AZ,8,FALSE)&gt;0,VLOOKUP(B449,Sep!B:AZ,6,FALSE)=""), CONCATENATE(TEXT(VLOOKUP(B449,Sep!B:AZ,7,FALSE),"hh:mm"), "-", TEXT(VLOOKUP(B449,Sep!B:AZ,8,FALSE),"[hh]:mm")," Uhr ", IF(VLOOKUP(B449,Sep!B:AZ,12,FALSE)&gt;0, CONCATENATE("und ",TEXT(VLOOKUP(B449,Sep!B:AZ,12,FALSE),"hh:mm"), "-", TEXT(VLOOKUP(B449,Sep!B:AZ,13,FALSE),"[hh]:mm")," Uhr "),"")), IF(VLOOKUP(B449,Sep!B:AZ,6,FALSE)="","",VLOOKUP(VLOOKUP(B449,Sep!B:AZ,6,FALSE),Legende_Code,2,FALSE)))</f>
        <v/>
      </c>
      <c r="E449" s="16" t="str">
        <f>IF(AND(VLOOKUP(B449,Sep!B:AZ,6,FALSE)="", WEEKDAY(B449,2)=6,VLOOKUP(B449,Sep!B:AZ,48,FALSE)&gt;0),VLOOKUP(B449,Sep!B:AZ,48,FALSE)*24,"")</f>
        <v/>
      </c>
      <c r="F449" s="16" t="str">
        <f>IF(AND(VLOOKUP(B449,Sep!B:AZ,6,FALSE)="", WEEKDAY(B449,2)=7,VLOOKUP(B449,Sep!B:AZ,49,FALSE)&gt;0),VLOOKUP(B449,Sep!B:AZ,49,FALSE)*24,"")</f>
        <v/>
      </c>
      <c r="G449" s="16" t="str">
        <f>IF(AND(VLOOKUP(B449,Sep!B:AZ,6,FALSE)="",VLOOKUP(B449,Sep!B:AZ,46,FALSE)&gt;0),VLOOKUP(B449,Sep!B:AZ,46,FALSE)*24,"")</f>
        <v/>
      </c>
      <c r="H449" s="36" t="str">
        <f>IF(AND(VLOOKUP(B449,Sep!B:AZ,6,FALSE)="",VLOOKUP(B449,Sep!B:AZ,50,FALSE)&gt;0),VLOOKUP(B449,Sep!B:AZ,50,FALSE)*24,"")</f>
        <v/>
      </c>
      <c r="I449" s="30" t="str">
        <f>IF(AND(NETWORKDAYS(B449,B449,Feiertage)=1,VLOOKUP(B449,Sep!B:AZ,6,FALSE)="U"),"Urlaub","")</f>
        <v/>
      </c>
      <c r="J449" s="34" t="str">
        <f ca="1">IF(AND(VLOOKUP(B449,Sep!B:AZ,6,FALSE)="",VLOOKUP(B449,Sep!B:AZ,22,FALSE)&lt;0),"Absetzen von","")</f>
        <v/>
      </c>
      <c r="K449" s="263"/>
      <c r="M449" s="316" t="str">
        <f ca="1">IF(VLOOKUP(B449,Sep!B:AZ,22,FALSE)&lt;&gt;0,VLOOKUP(B449,Sep!B:AZ,22,FALSE),"")</f>
        <v/>
      </c>
      <c r="N449" s="327"/>
    </row>
    <row r="450" spans="2:14" x14ac:dyDescent="0.25">
      <c r="B450" s="245">
        <f>Sep!F28</f>
        <v>42267</v>
      </c>
      <c r="C450" s="35">
        <f t="shared" si="5"/>
        <v>42267</v>
      </c>
      <c r="D450" s="17" t="str">
        <f>IF(AND(VLOOKUP(B450,Sep!B:AZ,8,FALSE)&gt;0,VLOOKUP(B450,Sep!B:AZ,6,FALSE)=""), CONCATENATE(TEXT(VLOOKUP(B450,Sep!B:AZ,7,FALSE),"hh:mm"), "-", TEXT(VLOOKUP(B450,Sep!B:AZ,8,FALSE),"[hh]:mm")," Uhr ", IF(VLOOKUP(B450,Sep!B:AZ,12,FALSE)&gt;0, CONCATENATE("und ",TEXT(VLOOKUP(B450,Sep!B:AZ,12,FALSE),"hh:mm"), "-", TEXT(VLOOKUP(B450,Sep!B:AZ,13,FALSE),"[hh]:mm")," Uhr "),"")), IF(VLOOKUP(B450,Sep!B:AZ,6,FALSE)="","",VLOOKUP(VLOOKUP(B450,Sep!B:AZ,6,FALSE),Legende_Code,2,FALSE)))</f>
        <v/>
      </c>
      <c r="E450" s="16" t="str">
        <f>IF(AND(VLOOKUP(B450,Sep!B:AZ,6,FALSE)="", WEEKDAY(B450,2)=6,VLOOKUP(B450,Sep!B:AZ,48,FALSE)&gt;0),VLOOKUP(B450,Sep!B:AZ,48,FALSE)*24,"")</f>
        <v/>
      </c>
      <c r="F450" s="16" t="str">
        <f>IF(AND(VLOOKUP(B450,Sep!B:AZ,6,FALSE)="", WEEKDAY(B450,2)=7,VLOOKUP(B450,Sep!B:AZ,49,FALSE)&gt;0),VLOOKUP(B450,Sep!B:AZ,49,FALSE)*24,"")</f>
        <v/>
      </c>
      <c r="G450" s="16" t="str">
        <f>IF(AND(VLOOKUP(B450,Sep!B:AZ,6,FALSE)="",VLOOKUP(B450,Sep!B:AZ,46,FALSE)&gt;0),VLOOKUP(B450,Sep!B:AZ,46,FALSE)*24,"")</f>
        <v/>
      </c>
      <c r="H450" s="36" t="str">
        <f>IF(AND(VLOOKUP(B450,Sep!B:AZ,6,FALSE)="",VLOOKUP(B450,Sep!B:AZ,50,FALSE)&gt;0),VLOOKUP(B450,Sep!B:AZ,50,FALSE)*24,"")</f>
        <v/>
      </c>
      <c r="I450" s="30" t="str">
        <f>IF(AND(NETWORKDAYS(B450,B450,Feiertage)=1,VLOOKUP(B450,Sep!B:AZ,6,FALSE)="U"),"Urlaub","")</f>
        <v/>
      </c>
      <c r="J450" s="34" t="str">
        <f ca="1">IF(AND(VLOOKUP(B450,Sep!B:AZ,6,FALSE)="",VLOOKUP(B450,Sep!B:AZ,22,FALSE)&lt;0),"Absetzen von","")</f>
        <v/>
      </c>
      <c r="K450" s="263"/>
      <c r="M450" s="316" t="str">
        <f ca="1">IF(VLOOKUP(B450,Sep!B:AZ,22,FALSE)&lt;&gt;0,VLOOKUP(B450,Sep!B:AZ,22,FALSE),"")</f>
        <v/>
      </c>
      <c r="N450" s="327"/>
    </row>
    <row r="451" spans="2:14" x14ac:dyDescent="0.25">
      <c r="B451" s="245">
        <f>Sep!F29</f>
        <v>42268</v>
      </c>
      <c r="C451" s="35">
        <f t="shared" si="5"/>
        <v>42268</v>
      </c>
      <c r="D451" s="17" t="str">
        <f>IF(AND(VLOOKUP(B451,Sep!B:AZ,8,FALSE)&gt;0,VLOOKUP(B451,Sep!B:AZ,6,FALSE)=""), CONCATENATE(TEXT(VLOOKUP(B451,Sep!B:AZ,7,FALSE),"hh:mm"), "-", TEXT(VLOOKUP(B451,Sep!B:AZ,8,FALSE),"[hh]:mm")," Uhr ", IF(VLOOKUP(B451,Sep!B:AZ,12,FALSE)&gt;0, CONCATENATE("und ",TEXT(VLOOKUP(B451,Sep!B:AZ,12,FALSE),"hh:mm"), "-", TEXT(VLOOKUP(B451,Sep!B:AZ,13,FALSE),"[hh]:mm")," Uhr "),"")), IF(VLOOKUP(B451,Sep!B:AZ,6,FALSE)="","",VLOOKUP(VLOOKUP(B451,Sep!B:AZ,6,FALSE),Legende_Code,2,FALSE)))</f>
        <v/>
      </c>
      <c r="E451" s="16" t="str">
        <f>IF(AND(VLOOKUP(B451,Sep!B:AZ,6,FALSE)="", WEEKDAY(B451,2)=6,VLOOKUP(B451,Sep!B:AZ,48,FALSE)&gt;0),VLOOKUP(B451,Sep!B:AZ,48,FALSE)*24,"")</f>
        <v/>
      </c>
      <c r="F451" s="16" t="str">
        <f>IF(AND(VLOOKUP(B451,Sep!B:AZ,6,FALSE)="", WEEKDAY(B451,2)=7,VLOOKUP(B451,Sep!B:AZ,49,FALSE)&gt;0),VLOOKUP(B451,Sep!B:AZ,49,FALSE)*24,"")</f>
        <v/>
      </c>
      <c r="G451" s="16" t="str">
        <f>IF(AND(VLOOKUP(B451,Sep!B:AZ,6,FALSE)="",VLOOKUP(B451,Sep!B:AZ,46,FALSE)&gt;0),VLOOKUP(B451,Sep!B:AZ,46,FALSE)*24,"")</f>
        <v/>
      </c>
      <c r="H451" s="36" t="str">
        <f>IF(AND(VLOOKUP(B451,Sep!B:AZ,6,FALSE)="",VLOOKUP(B451,Sep!B:AZ,50,FALSE)&gt;0),VLOOKUP(B451,Sep!B:AZ,50,FALSE)*24,"")</f>
        <v/>
      </c>
      <c r="I451" s="30" t="str">
        <f>IF(AND(NETWORKDAYS(B451,B451,Feiertage)=1,VLOOKUP(B451,Sep!B:AZ,6,FALSE)="U"),"Urlaub","")</f>
        <v/>
      </c>
      <c r="J451" s="34" t="str">
        <f ca="1">IF(AND(VLOOKUP(B451,Sep!B:AZ,6,FALSE)="",VLOOKUP(B451,Sep!B:AZ,22,FALSE)&lt;0),"Absetzen von","")</f>
        <v/>
      </c>
      <c r="K451" s="263"/>
      <c r="M451" s="316" t="str">
        <f ca="1">IF(VLOOKUP(B451,Sep!B:AZ,22,FALSE)&lt;&gt;0,VLOOKUP(B451,Sep!B:AZ,22,FALSE),"")</f>
        <v/>
      </c>
      <c r="N451" s="327"/>
    </row>
    <row r="452" spans="2:14" x14ac:dyDescent="0.25">
      <c r="B452" s="245">
        <f>Sep!F30</f>
        <v>42269</v>
      </c>
      <c r="C452" s="35">
        <f t="shared" si="5"/>
        <v>42269</v>
      </c>
      <c r="D452" s="17" t="str">
        <f>IF(AND(VLOOKUP(B452,Sep!B:AZ,8,FALSE)&gt;0,VLOOKUP(B452,Sep!B:AZ,6,FALSE)=""), CONCATENATE(TEXT(VLOOKUP(B452,Sep!B:AZ,7,FALSE),"hh:mm"), "-", TEXT(VLOOKUP(B452,Sep!B:AZ,8,FALSE),"[hh]:mm")," Uhr ", IF(VLOOKUP(B452,Sep!B:AZ,12,FALSE)&gt;0, CONCATENATE("und ",TEXT(VLOOKUP(B452,Sep!B:AZ,12,FALSE),"hh:mm"), "-", TEXT(VLOOKUP(B452,Sep!B:AZ,13,FALSE),"[hh]:mm")," Uhr "),"")), IF(VLOOKUP(B452,Sep!B:AZ,6,FALSE)="","",VLOOKUP(VLOOKUP(B452,Sep!B:AZ,6,FALSE),Legende_Code,2,FALSE)))</f>
        <v/>
      </c>
      <c r="E452" s="16" t="str">
        <f>IF(AND(VLOOKUP(B452,Sep!B:AZ,6,FALSE)="", WEEKDAY(B452,2)=6,VLOOKUP(B452,Sep!B:AZ,48,FALSE)&gt;0),VLOOKUP(B452,Sep!B:AZ,48,FALSE)*24,"")</f>
        <v/>
      </c>
      <c r="F452" s="16" t="str">
        <f>IF(AND(VLOOKUP(B452,Sep!B:AZ,6,FALSE)="", WEEKDAY(B452,2)=7,VLOOKUP(B452,Sep!B:AZ,49,FALSE)&gt;0),VLOOKUP(B452,Sep!B:AZ,49,FALSE)*24,"")</f>
        <v/>
      </c>
      <c r="G452" s="16" t="str">
        <f>IF(AND(VLOOKUP(B452,Sep!B:AZ,6,FALSE)="",VLOOKUP(B452,Sep!B:AZ,46,FALSE)&gt;0),VLOOKUP(B452,Sep!B:AZ,46,FALSE)*24,"")</f>
        <v/>
      </c>
      <c r="H452" s="36" t="str">
        <f>IF(AND(VLOOKUP(B452,Sep!B:AZ,6,FALSE)="",VLOOKUP(B452,Sep!B:AZ,50,FALSE)&gt;0),VLOOKUP(B452,Sep!B:AZ,50,FALSE)*24,"")</f>
        <v/>
      </c>
      <c r="I452" s="30" t="str">
        <f>IF(AND(NETWORKDAYS(B452,B452,Feiertage)=1,VLOOKUP(B452,Sep!B:AZ,6,FALSE)="U"),"Urlaub","")</f>
        <v/>
      </c>
      <c r="J452" s="34" t="str">
        <f ca="1">IF(AND(VLOOKUP(B452,Sep!B:AZ,6,FALSE)="",VLOOKUP(B452,Sep!B:AZ,22,FALSE)&lt;0),"Absetzen von","")</f>
        <v/>
      </c>
      <c r="K452" s="263"/>
      <c r="M452" s="316" t="str">
        <f ca="1">IF(VLOOKUP(B452,Sep!B:AZ,22,FALSE)&lt;&gt;0,VLOOKUP(B452,Sep!B:AZ,22,FALSE),"")</f>
        <v/>
      </c>
      <c r="N452" s="327"/>
    </row>
    <row r="453" spans="2:14" x14ac:dyDescent="0.25">
      <c r="B453" s="245">
        <f>Sep!F31</f>
        <v>42270</v>
      </c>
      <c r="C453" s="35">
        <f t="shared" si="5"/>
        <v>42270</v>
      </c>
      <c r="D453" s="17" t="str">
        <f>IF(AND(VLOOKUP(B453,Sep!B:AZ,8,FALSE)&gt;0,VLOOKUP(B453,Sep!B:AZ,6,FALSE)=""), CONCATENATE(TEXT(VLOOKUP(B453,Sep!B:AZ,7,FALSE),"hh:mm"), "-", TEXT(VLOOKUP(B453,Sep!B:AZ,8,FALSE),"[hh]:mm")," Uhr ", IF(VLOOKUP(B453,Sep!B:AZ,12,FALSE)&gt;0, CONCATENATE("und ",TEXT(VLOOKUP(B453,Sep!B:AZ,12,FALSE),"hh:mm"), "-", TEXT(VLOOKUP(B453,Sep!B:AZ,13,FALSE),"[hh]:mm")," Uhr "),"")), IF(VLOOKUP(B453,Sep!B:AZ,6,FALSE)="","",VLOOKUP(VLOOKUP(B453,Sep!B:AZ,6,FALSE),Legende_Code,2,FALSE)))</f>
        <v/>
      </c>
      <c r="E453" s="16" t="str">
        <f>IF(AND(VLOOKUP(B453,Sep!B:AZ,6,FALSE)="", WEEKDAY(B453,2)=6,VLOOKUP(B453,Sep!B:AZ,48,FALSE)&gt;0),VLOOKUP(B453,Sep!B:AZ,48,FALSE)*24,"")</f>
        <v/>
      </c>
      <c r="F453" s="16" t="str">
        <f>IF(AND(VLOOKUP(B453,Sep!B:AZ,6,FALSE)="", WEEKDAY(B453,2)=7,VLOOKUP(B453,Sep!B:AZ,49,FALSE)&gt;0),VLOOKUP(B453,Sep!B:AZ,49,FALSE)*24,"")</f>
        <v/>
      </c>
      <c r="G453" s="16" t="str">
        <f>IF(AND(VLOOKUP(B453,Sep!B:AZ,6,FALSE)="",VLOOKUP(B453,Sep!B:AZ,46,FALSE)&gt;0),VLOOKUP(B453,Sep!B:AZ,46,FALSE)*24,"")</f>
        <v/>
      </c>
      <c r="H453" s="36" t="str">
        <f>IF(AND(VLOOKUP(B453,Sep!B:AZ,6,FALSE)="",VLOOKUP(B453,Sep!B:AZ,50,FALSE)&gt;0),VLOOKUP(B453,Sep!B:AZ,50,FALSE)*24,"")</f>
        <v/>
      </c>
      <c r="I453" s="30" t="str">
        <f>IF(AND(NETWORKDAYS(B453,B453,Feiertage)=1,VLOOKUP(B453,Sep!B:AZ,6,FALSE)="U"),"Urlaub","")</f>
        <v/>
      </c>
      <c r="J453" s="34" t="str">
        <f ca="1">IF(AND(VLOOKUP(B453,Sep!B:AZ,6,FALSE)="",VLOOKUP(B453,Sep!B:AZ,22,FALSE)&lt;0),"Absetzen von","")</f>
        <v/>
      </c>
      <c r="K453" s="263"/>
      <c r="M453" s="316" t="str">
        <f ca="1">IF(VLOOKUP(B453,Sep!B:AZ,22,FALSE)&lt;&gt;0,VLOOKUP(B453,Sep!B:AZ,22,FALSE),"")</f>
        <v/>
      </c>
      <c r="N453" s="327"/>
    </row>
    <row r="454" spans="2:14" x14ac:dyDescent="0.25">
      <c r="B454" s="245">
        <f>Sep!F32</f>
        <v>42271</v>
      </c>
      <c r="C454" s="35">
        <f t="shared" si="5"/>
        <v>42271</v>
      </c>
      <c r="D454" s="17" t="str">
        <f>IF(AND(VLOOKUP(B454,Sep!B:AZ,8,FALSE)&gt;0,VLOOKUP(B454,Sep!B:AZ,6,FALSE)=""), CONCATENATE(TEXT(VLOOKUP(B454,Sep!B:AZ,7,FALSE),"hh:mm"), "-", TEXT(VLOOKUP(B454,Sep!B:AZ,8,FALSE),"[hh]:mm")," Uhr ", IF(VLOOKUP(B454,Sep!B:AZ,12,FALSE)&gt;0, CONCATENATE("und ",TEXT(VLOOKUP(B454,Sep!B:AZ,12,FALSE),"hh:mm"), "-", TEXT(VLOOKUP(B454,Sep!B:AZ,13,FALSE),"[hh]:mm")," Uhr "),"")), IF(VLOOKUP(B454,Sep!B:AZ,6,FALSE)="","",VLOOKUP(VLOOKUP(B454,Sep!B:AZ,6,FALSE),Legende_Code,2,FALSE)))</f>
        <v/>
      </c>
      <c r="E454" s="16" t="str">
        <f>IF(AND(VLOOKUP(B454,Sep!B:AZ,6,FALSE)="", WEEKDAY(B454,2)=6,VLOOKUP(B454,Sep!B:AZ,48,FALSE)&gt;0),VLOOKUP(B454,Sep!B:AZ,48,FALSE)*24,"")</f>
        <v/>
      </c>
      <c r="F454" s="16" t="str">
        <f>IF(AND(VLOOKUP(B454,Sep!B:AZ,6,FALSE)="", WEEKDAY(B454,2)=7,VLOOKUP(B454,Sep!B:AZ,49,FALSE)&gt;0),VLOOKUP(B454,Sep!B:AZ,49,FALSE)*24,"")</f>
        <v/>
      </c>
      <c r="G454" s="16" t="str">
        <f>IF(AND(VLOOKUP(B454,Sep!B:AZ,6,FALSE)="",VLOOKUP(B454,Sep!B:AZ,46,FALSE)&gt;0),VLOOKUP(B454,Sep!B:AZ,46,FALSE)*24,"")</f>
        <v/>
      </c>
      <c r="H454" s="36" t="str">
        <f>IF(AND(VLOOKUP(B454,Sep!B:AZ,6,FALSE)="",VLOOKUP(B454,Sep!B:AZ,50,FALSE)&gt;0),VLOOKUP(B454,Sep!B:AZ,50,FALSE)*24,"")</f>
        <v/>
      </c>
      <c r="I454" s="30" t="str">
        <f>IF(AND(NETWORKDAYS(B454,B454,Feiertage)=1,VLOOKUP(B454,Sep!B:AZ,6,FALSE)="U"),"Urlaub","")</f>
        <v/>
      </c>
      <c r="J454" s="34" t="str">
        <f ca="1">IF(AND(VLOOKUP(B454,Sep!B:AZ,6,FALSE)="",VLOOKUP(B454,Sep!B:AZ,22,FALSE)&lt;0),"Absetzen von","")</f>
        <v/>
      </c>
      <c r="K454" s="263"/>
      <c r="M454" s="316" t="str">
        <f ca="1">IF(VLOOKUP(B454,Sep!B:AZ,22,FALSE)&lt;&gt;0,VLOOKUP(B454,Sep!B:AZ,22,FALSE),"")</f>
        <v/>
      </c>
      <c r="N454" s="327"/>
    </row>
    <row r="455" spans="2:14" x14ac:dyDescent="0.25">
      <c r="B455" s="245">
        <f>Sep!F33</f>
        <v>42272</v>
      </c>
      <c r="C455" s="35">
        <f t="shared" si="5"/>
        <v>42272</v>
      </c>
      <c r="D455" s="17" t="str">
        <f>IF(AND(VLOOKUP(B455,Sep!B:AZ,8,FALSE)&gt;0,VLOOKUP(B455,Sep!B:AZ,6,FALSE)=""), CONCATENATE(TEXT(VLOOKUP(B455,Sep!B:AZ,7,FALSE),"hh:mm"), "-", TEXT(VLOOKUP(B455,Sep!B:AZ,8,FALSE),"[hh]:mm")," Uhr ", IF(VLOOKUP(B455,Sep!B:AZ,12,FALSE)&gt;0, CONCATENATE("und ",TEXT(VLOOKUP(B455,Sep!B:AZ,12,FALSE),"hh:mm"), "-", TEXT(VLOOKUP(B455,Sep!B:AZ,13,FALSE),"[hh]:mm")," Uhr "),"")), IF(VLOOKUP(B455,Sep!B:AZ,6,FALSE)="","",VLOOKUP(VLOOKUP(B455,Sep!B:AZ,6,FALSE),Legende_Code,2,FALSE)))</f>
        <v/>
      </c>
      <c r="E455" s="16" t="str">
        <f>IF(AND(VLOOKUP(B455,Sep!B:AZ,6,FALSE)="", WEEKDAY(B455,2)=6,VLOOKUP(B455,Sep!B:AZ,48,FALSE)&gt;0),VLOOKUP(B455,Sep!B:AZ,48,FALSE)*24,"")</f>
        <v/>
      </c>
      <c r="F455" s="16" t="str">
        <f>IF(AND(VLOOKUP(B455,Sep!B:AZ,6,FALSE)="", WEEKDAY(B455,2)=7,VLOOKUP(B455,Sep!B:AZ,49,FALSE)&gt;0),VLOOKUP(B455,Sep!B:AZ,49,FALSE)*24,"")</f>
        <v/>
      </c>
      <c r="G455" s="16" t="str">
        <f>IF(AND(VLOOKUP(B455,Sep!B:AZ,6,FALSE)="",VLOOKUP(B455,Sep!B:AZ,46,FALSE)&gt;0),VLOOKUP(B455,Sep!B:AZ,46,FALSE)*24,"")</f>
        <v/>
      </c>
      <c r="H455" s="36" t="str">
        <f>IF(AND(VLOOKUP(B455,Sep!B:AZ,6,FALSE)="",VLOOKUP(B455,Sep!B:AZ,50,FALSE)&gt;0),VLOOKUP(B455,Sep!B:AZ,50,FALSE)*24,"")</f>
        <v/>
      </c>
      <c r="I455" s="30" t="str">
        <f>IF(AND(NETWORKDAYS(B455,B455,Feiertage)=1,VLOOKUP(B455,Sep!B:AZ,6,FALSE)="U"),"Urlaub","")</f>
        <v/>
      </c>
      <c r="J455" s="34" t="str">
        <f ca="1">IF(AND(VLOOKUP(B455,Sep!B:AZ,6,FALSE)="",VLOOKUP(B455,Sep!B:AZ,22,FALSE)&lt;0),"Absetzen von","")</f>
        <v/>
      </c>
      <c r="K455" s="263"/>
      <c r="M455" s="316" t="str">
        <f ca="1">IF(VLOOKUP(B455,Sep!B:AZ,22,FALSE)&lt;&gt;0,VLOOKUP(B455,Sep!B:AZ,22,FALSE),"")</f>
        <v/>
      </c>
      <c r="N455" s="327"/>
    </row>
    <row r="456" spans="2:14" x14ac:dyDescent="0.25">
      <c r="B456" s="245">
        <f>Sep!F34</f>
        <v>42273</v>
      </c>
      <c r="C456" s="35">
        <f t="shared" si="5"/>
        <v>42273</v>
      </c>
      <c r="D456" s="17" t="str">
        <f>IF(AND(VLOOKUP(B456,Sep!B:AZ,8,FALSE)&gt;0,VLOOKUP(B456,Sep!B:AZ,6,FALSE)=""), CONCATENATE(TEXT(VLOOKUP(B456,Sep!B:AZ,7,FALSE),"hh:mm"), "-", TEXT(VLOOKUP(B456,Sep!B:AZ,8,FALSE),"[hh]:mm")," Uhr ", IF(VLOOKUP(B456,Sep!B:AZ,12,FALSE)&gt;0, CONCATENATE("und ",TEXT(VLOOKUP(B456,Sep!B:AZ,12,FALSE),"hh:mm"), "-", TEXT(VLOOKUP(B456,Sep!B:AZ,13,FALSE),"[hh]:mm")," Uhr "),"")), IF(VLOOKUP(B456,Sep!B:AZ,6,FALSE)="","",VLOOKUP(VLOOKUP(B456,Sep!B:AZ,6,FALSE),Legende_Code,2,FALSE)))</f>
        <v/>
      </c>
      <c r="E456" s="16" t="str">
        <f>IF(AND(VLOOKUP(B456,Sep!B:AZ,6,FALSE)="", WEEKDAY(B456,2)=6,VLOOKUP(B456,Sep!B:AZ,48,FALSE)&gt;0),VLOOKUP(B456,Sep!B:AZ,48,FALSE)*24,"")</f>
        <v/>
      </c>
      <c r="F456" s="16" t="str">
        <f>IF(AND(VLOOKUP(B456,Sep!B:AZ,6,FALSE)="", WEEKDAY(B456,2)=7,VLOOKUP(B456,Sep!B:AZ,49,FALSE)&gt;0),VLOOKUP(B456,Sep!B:AZ,49,FALSE)*24,"")</f>
        <v/>
      </c>
      <c r="G456" s="16" t="str">
        <f>IF(AND(VLOOKUP(B456,Sep!B:AZ,6,FALSE)="",VLOOKUP(B456,Sep!B:AZ,46,FALSE)&gt;0),VLOOKUP(B456,Sep!B:AZ,46,FALSE)*24,"")</f>
        <v/>
      </c>
      <c r="H456" s="36" t="str">
        <f>IF(AND(VLOOKUP(B456,Sep!B:AZ,6,FALSE)="",VLOOKUP(B456,Sep!B:AZ,50,FALSE)&gt;0),VLOOKUP(B456,Sep!B:AZ,50,FALSE)*24,"")</f>
        <v/>
      </c>
      <c r="I456" s="30" t="str">
        <f>IF(AND(NETWORKDAYS(B456,B456,Feiertage)=1,VLOOKUP(B456,Sep!B:AZ,6,FALSE)="U"),"Urlaub","")</f>
        <v/>
      </c>
      <c r="J456" s="34" t="str">
        <f ca="1">IF(AND(VLOOKUP(B456,Sep!B:AZ,6,FALSE)="",VLOOKUP(B456,Sep!B:AZ,22,FALSE)&lt;0),"Absetzen von","")</f>
        <v/>
      </c>
      <c r="K456" s="263"/>
      <c r="M456" s="316" t="str">
        <f ca="1">IF(VLOOKUP(B456,Sep!B:AZ,22,FALSE)&lt;&gt;0,VLOOKUP(B456,Sep!B:AZ,22,FALSE),"")</f>
        <v/>
      </c>
      <c r="N456" s="327"/>
    </row>
    <row r="457" spans="2:14" x14ac:dyDescent="0.25">
      <c r="B457" s="245">
        <f>Sep!F35</f>
        <v>42274</v>
      </c>
      <c r="C457" s="35">
        <f t="shared" si="5"/>
        <v>42274</v>
      </c>
      <c r="D457" s="17" t="str">
        <f>IF(AND(VLOOKUP(B457,Sep!B:AZ,8,FALSE)&gt;0,VLOOKUP(B457,Sep!B:AZ,6,FALSE)=""), CONCATENATE(TEXT(VLOOKUP(B457,Sep!B:AZ,7,FALSE),"hh:mm"), "-", TEXT(VLOOKUP(B457,Sep!B:AZ,8,FALSE),"[hh]:mm")," Uhr ", IF(VLOOKUP(B457,Sep!B:AZ,12,FALSE)&gt;0, CONCATENATE("und ",TEXT(VLOOKUP(B457,Sep!B:AZ,12,FALSE),"hh:mm"), "-", TEXT(VLOOKUP(B457,Sep!B:AZ,13,FALSE),"[hh]:mm")," Uhr "),"")), IF(VLOOKUP(B457,Sep!B:AZ,6,FALSE)="","",VLOOKUP(VLOOKUP(B457,Sep!B:AZ,6,FALSE),Legende_Code,2,FALSE)))</f>
        <v/>
      </c>
      <c r="E457" s="16" t="str">
        <f>IF(AND(VLOOKUP(B457,Sep!B:AZ,6,FALSE)="", WEEKDAY(B457,2)=6,VLOOKUP(B457,Sep!B:AZ,48,FALSE)&gt;0),VLOOKUP(B457,Sep!B:AZ,48,FALSE)*24,"")</f>
        <v/>
      </c>
      <c r="F457" s="16" t="str">
        <f>IF(AND(VLOOKUP(B457,Sep!B:AZ,6,FALSE)="", WEEKDAY(B457,2)=7,VLOOKUP(B457,Sep!B:AZ,49,FALSE)&gt;0),VLOOKUP(B457,Sep!B:AZ,49,FALSE)*24,"")</f>
        <v/>
      </c>
      <c r="G457" s="16" t="str">
        <f>IF(AND(VLOOKUP(B457,Sep!B:AZ,6,FALSE)="",VLOOKUP(B457,Sep!B:AZ,46,FALSE)&gt;0),VLOOKUP(B457,Sep!B:AZ,46,FALSE)*24,"")</f>
        <v/>
      </c>
      <c r="H457" s="36" t="str">
        <f>IF(AND(VLOOKUP(B457,Sep!B:AZ,6,FALSE)="",VLOOKUP(B457,Sep!B:AZ,50,FALSE)&gt;0),VLOOKUP(B457,Sep!B:AZ,50,FALSE)*24,"")</f>
        <v/>
      </c>
      <c r="I457" s="30" t="str">
        <f>IF(AND(NETWORKDAYS(B457,B457,Feiertage)=1,VLOOKUP(B457,Sep!B:AZ,6,FALSE)="U"),"Urlaub","")</f>
        <v/>
      </c>
      <c r="J457" s="34" t="str">
        <f ca="1">IF(AND(VLOOKUP(B457,Sep!B:AZ,6,FALSE)="",VLOOKUP(B457,Sep!B:AZ,22,FALSE)&lt;0),"Absetzen von","")</f>
        <v/>
      </c>
      <c r="K457" s="263"/>
      <c r="M457" s="316" t="str">
        <f ca="1">IF(VLOOKUP(B457,Sep!B:AZ,22,FALSE)&lt;&gt;0,VLOOKUP(B457,Sep!B:AZ,22,FALSE),"")</f>
        <v/>
      </c>
      <c r="N457" s="327"/>
    </row>
    <row r="458" spans="2:14" x14ac:dyDescent="0.25">
      <c r="B458" s="245">
        <f>Sep!F36</f>
        <v>42275</v>
      </c>
      <c r="C458" s="35">
        <f t="shared" si="5"/>
        <v>42275</v>
      </c>
      <c r="D458" s="17" t="str">
        <f>IF(AND(VLOOKUP(B458,Sep!B:AZ,8,FALSE)&gt;0,VLOOKUP(B458,Sep!B:AZ,6,FALSE)=""), CONCATENATE(TEXT(VLOOKUP(B458,Sep!B:AZ,7,FALSE),"hh:mm"), "-", TEXT(VLOOKUP(B458,Sep!B:AZ,8,FALSE),"[hh]:mm")," Uhr ", IF(VLOOKUP(B458,Sep!B:AZ,12,FALSE)&gt;0, CONCATENATE("und ",TEXT(VLOOKUP(B458,Sep!B:AZ,12,FALSE),"hh:mm"), "-", TEXT(VLOOKUP(B458,Sep!B:AZ,13,FALSE),"[hh]:mm")," Uhr "),"")), IF(VLOOKUP(B458,Sep!B:AZ,6,FALSE)="","",VLOOKUP(VLOOKUP(B458,Sep!B:AZ,6,FALSE),Legende_Code,2,FALSE)))</f>
        <v/>
      </c>
      <c r="E458" s="16" t="str">
        <f>IF(AND(VLOOKUP(B458,Sep!B:AZ,6,FALSE)="", WEEKDAY(B458,2)=6,VLOOKUP(B458,Sep!B:AZ,48,FALSE)&gt;0),VLOOKUP(B458,Sep!B:AZ,48,FALSE)*24,"")</f>
        <v/>
      </c>
      <c r="F458" s="16" t="str">
        <f>IF(AND(VLOOKUP(B458,Sep!B:AZ,6,FALSE)="", WEEKDAY(B458,2)=7,VLOOKUP(B458,Sep!B:AZ,49,FALSE)&gt;0),VLOOKUP(B458,Sep!B:AZ,49,FALSE)*24,"")</f>
        <v/>
      </c>
      <c r="G458" s="16" t="str">
        <f>IF(AND(VLOOKUP(B458,Sep!B:AZ,6,FALSE)="",VLOOKUP(B458,Sep!B:AZ,46,FALSE)&gt;0),VLOOKUP(B458,Sep!B:AZ,46,FALSE)*24,"")</f>
        <v/>
      </c>
      <c r="H458" s="36" t="str">
        <f>IF(AND(VLOOKUP(B458,Sep!B:AZ,6,FALSE)="",VLOOKUP(B458,Sep!B:AZ,50,FALSE)&gt;0),VLOOKUP(B458,Sep!B:AZ,50,FALSE)*24,"")</f>
        <v/>
      </c>
      <c r="I458" s="30" t="str">
        <f>IF(AND(NETWORKDAYS(B458,B458,Feiertage)=1,VLOOKUP(B458,Sep!B:AZ,6,FALSE)="U"),"Urlaub","")</f>
        <v/>
      </c>
      <c r="J458" s="34" t="str">
        <f ca="1">IF(AND(VLOOKUP(B458,Sep!B:AZ,6,FALSE)="",VLOOKUP(B458,Sep!B:AZ,22,FALSE)&lt;0),"Absetzen von","")</f>
        <v/>
      </c>
      <c r="K458" s="263"/>
      <c r="M458" s="316" t="str">
        <f ca="1">IF(VLOOKUP(B458,Sep!B:AZ,22,FALSE)&lt;&gt;0,VLOOKUP(B458,Sep!B:AZ,22,FALSE),"")</f>
        <v/>
      </c>
      <c r="N458" s="327"/>
    </row>
    <row r="459" spans="2:14" x14ac:dyDescent="0.25">
      <c r="B459" s="245">
        <f>Sep!F37</f>
        <v>42276</v>
      </c>
      <c r="C459" s="35">
        <f t="shared" si="5"/>
        <v>42276</v>
      </c>
      <c r="D459" s="17" t="str">
        <f>IF(AND(VLOOKUP(B459,Sep!B:AZ,8,FALSE)&gt;0,VLOOKUP(B459,Sep!B:AZ,6,FALSE)=""), CONCATENATE(TEXT(VLOOKUP(B459,Sep!B:AZ,7,FALSE),"hh:mm"), "-", TEXT(VLOOKUP(B459,Sep!B:AZ,8,FALSE),"[hh]:mm")," Uhr ", IF(VLOOKUP(B459,Sep!B:AZ,12,FALSE)&gt;0, CONCATENATE("und ",TEXT(VLOOKUP(B459,Sep!B:AZ,12,FALSE),"hh:mm"), "-", TEXT(VLOOKUP(B459,Sep!B:AZ,13,FALSE),"[hh]:mm")," Uhr "),"")), IF(VLOOKUP(B459,Sep!B:AZ,6,FALSE)="","",VLOOKUP(VLOOKUP(B459,Sep!B:AZ,6,FALSE),Legende_Code,2,FALSE)))</f>
        <v/>
      </c>
      <c r="E459" s="16" t="str">
        <f>IF(AND(VLOOKUP(B459,Sep!B:AZ,6,FALSE)="", WEEKDAY(B459,2)=6,VLOOKUP(B459,Sep!B:AZ,48,FALSE)&gt;0),VLOOKUP(B459,Sep!B:AZ,48,FALSE)*24,"")</f>
        <v/>
      </c>
      <c r="F459" s="16" t="str">
        <f>IF(AND(VLOOKUP(B459,Sep!B:AZ,6,FALSE)="", WEEKDAY(B459,2)=7,VLOOKUP(B459,Sep!B:AZ,49,FALSE)&gt;0),VLOOKUP(B459,Sep!B:AZ,49,FALSE)*24,"")</f>
        <v/>
      </c>
      <c r="G459" s="16" t="str">
        <f>IF(AND(VLOOKUP(B459,Sep!B:AZ,6,FALSE)="",VLOOKUP(B459,Sep!B:AZ,46,FALSE)&gt;0),VLOOKUP(B459,Sep!B:AZ,46,FALSE)*24,"")</f>
        <v/>
      </c>
      <c r="H459" s="36" t="str">
        <f>IF(AND(VLOOKUP(B459,Sep!B:AZ,6,FALSE)="",VLOOKUP(B459,Sep!B:AZ,50,FALSE)&gt;0),VLOOKUP(B459,Sep!B:AZ,50,FALSE)*24,"")</f>
        <v/>
      </c>
      <c r="I459" s="30" t="str">
        <f>IF(AND(NETWORKDAYS(B459,B459,Feiertage)=1,VLOOKUP(B459,Sep!B:AZ,6,FALSE)="U"),"Urlaub","")</f>
        <v/>
      </c>
      <c r="J459" s="34" t="str">
        <f ca="1">IF(AND(VLOOKUP(B459,Sep!B:AZ,6,FALSE)="",VLOOKUP(B459,Sep!B:AZ,22,FALSE)&lt;0),"Absetzen von","")</f>
        <v/>
      </c>
      <c r="K459" s="263"/>
      <c r="M459" s="316" t="str">
        <f ca="1">IF(VLOOKUP(B459,Sep!B:AZ,22,FALSE)&lt;&gt;0,VLOOKUP(B459,Sep!B:AZ,22,FALSE),"")</f>
        <v/>
      </c>
      <c r="N459" s="327"/>
    </row>
    <row r="460" spans="2:14" ht="15.75" thickBot="1" x14ac:dyDescent="0.3">
      <c r="B460" s="245"/>
      <c r="C460" s="35"/>
      <c r="D460" s="17"/>
      <c r="E460" s="16"/>
      <c r="F460" s="16"/>
      <c r="G460" s="16"/>
      <c r="H460" s="36"/>
      <c r="I460" s="30"/>
      <c r="J460" s="34"/>
      <c r="K460" s="263"/>
      <c r="N460" s="327"/>
    </row>
    <row r="461" spans="2:14" ht="15.75" thickBot="1" x14ac:dyDescent="0.3">
      <c r="B461" s="186"/>
      <c r="C461" s="37"/>
      <c r="D461" s="38" t="s">
        <v>198</v>
      </c>
      <c r="E461" s="39" t="str">
        <f>IF(SUM(E430:E460)=0," ",SUM(E430:E460))</f>
        <v xml:space="preserve"> </v>
      </c>
      <c r="F461" s="39" t="str">
        <f>IF(SUM(F430:F460)=0," ",SUM(F430:F460))</f>
        <v xml:space="preserve"> </v>
      </c>
      <c r="G461" s="39" t="str">
        <f>IF(SUM(G430:G460)=0," ",SUM(G430:G460))</f>
        <v xml:space="preserve"> </v>
      </c>
      <c r="H461" s="40" t="str">
        <f>IF(SUM(H430:H460)=0," ",SUM(H430:H460))</f>
        <v xml:space="preserve"> </v>
      </c>
      <c r="I461" s="30"/>
      <c r="J461" s="185"/>
      <c r="K461" s="266"/>
      <c r="N461" s="327"/>
    </row>
    <row r="462" spans="2:14" x14ac:dyDescent="0.25">
      <c r="B462" s="44" t="s">
        <v>199</v>
      </c>
      <c r="C462" s="20"/>
      <c r="D462" s="41"/>
      <c r="E462" s="20"/>
      <c r="F462" s="20"/>
      <c r="G462" s="20" t="s">
        <v>200</v>
      </c>
      <c r="H462" s="20"/>
      <c r="I462" s="20"/>
      <c r="J462" s="20"/>
      <c r="K462" s="267"/>
      <c r="N462" s="327"/>
    </row>
    <row r="463" spans="2:14" x14ac:dyDescent="0.25">
      <c r="B463" s="44"/>
      <c r="C463" s="20"/>
      <c r="D463" s="41"/>
      <c r="E463" s="20"/>
      <c r="F463" s="20"/>
      <c r="G463" s="20"/>
      <c r="H463" s="20"/>
      <c r="I463" s="20"/>
      <c r="J463" s="20"/>
      <c r="K463" s="267"/>
      <c r="N463" s="327"/>
    </row>
    <row r="464" spans="2:14" x14ac:dyDescent="0.25">
      <c r="B464" s="44"/>
      <c r="C464" s="20"/>
      <c r="D464" s="41"/>
      <c r="E464" s="20"/>
      <c r="F464" s="20"/>
      <c r="G464" s="20"/>
      <c r="H464" s="20"/>
      <c r="I464" s="20"/>
      <c r="J464" s="20"/>
      <c r="K464" s="267"/>
      <c r="N464" s="327"/>
    </row>
    <row r="465" spans="1:14" x14ac:dyDescent="0.25">
      <c r="B465" s="44" t="s">
        <v>201</v>
      </c>
      <c r="C465" s="20"/>
      <c r="D465" s="41"/>
      <c r="E465" s="20"/>
      <c r="F465" s="20"/>
      <c r="G465" s="20" t="s">
        <v>202</v>
      </c>
      <c r="H465" s="20"/>
      <c r="I465" s="20"/>
      <c r="J465" s="20"/>
      <c r="K465" s="267"/>
      <c r="N465" s="327"/>
    </row>
    <row r="466" spans="1:14" s="46" customFormat="1" ht="16.5" customHeight="1" x14ac:dyDescent="0.25">
      <c r="B466" s="183"/>
      <c r="K466" s="270"/>
      <c r="M466" s="316"/>
      <c r="N466" s="257"/>
    </row>
    <row r="467" spans="1:14" s="46" customFormat="1" ht="16.5" customHeight="1" x14ac:dyDescent="0.25">
      <c r="B467" s="183"/>
      <c r="K467" s="270"/>
      <c r="M467" s="316"/>
      <c r="N467" s="257"/>
    </row>
    <row r="468" spans="1:14" s="46" customFormat="1" ht="16.5" customHeight="1" x14ac:dyDescent="0.25">
      <c r="B468" s="183"/>
      <c r="K468" s="270"/>
      <c r="M468" s="316"/>
      <c r="N468" s="257"/>
    </row>
    <row r="469" spans="1:14" s="46" customFormat="1" ht="16.5" customHeight="1" x14ac:dyDescent="0.25">
      <c r="B469" s="183"/>
      <c r="K469" s="270"/>
      <c r="M469" s="316"/>
      <c r="N469" s="257"/>
    </row>
    <row r="470" spans="1:14" s="45" customFormat="1" ht="18" x14ac:dyDescent="0.25">
      <c r="B470" s="252"/>
      <c r="C470" s="539" t="s">
        <v>186</v>
      </c>
      <c r="D470" s="539"/>
      <c r="E470" s="539"/>
      <c r="F470" s="539"/>
      <c r="G470" s="21"/>
      <c r="H470" s="21"/>
      <c r="I470" s="21"/>
      <c r="J470" s="21"/>
      <c r="K470" s="259"/>
      <c r="M470" s="317"/>
      <c r="N470" s="328"/>
    </row>
    <row r="471" spans="1:14" s="45" customFormat="1" ht="16.5" x14ac:dyDescent="0.25">
      <c r="B471" s="252" t="s">
        <v>82</v>
      </c>
      <c r="C471" s="21"/>
      <c r="D471" s="22"/>
      <c r="E471" s="21"/>
      <c r="F471" s="21"/>
      <c r="G471" s="21"/>
      <c r="H471" s="21"/>
      <c r="I471" s="23" t="str">
        <f>Struktureinheit</f>
        <v>Struktureinheit</v>
      </c>
      <c r="J471" s="24"/>
      <c r="K471" s="260"/>
      <c r="M471" s="317" t="s">
        <v>187</v>
      </c>
      <c r="N471" s="256"/>
    </row>
    <row r="472" spans="1:14" ht="16.5" x14ac:dyDescent="0.25">
      <c r="A472" s="29"/>
      <c r="B472" s="545" t="s">
        <v>1</v>
      </c>
      <c r="C472" s="545"/>
      <c r="D472" s="20" t="str">
        <f>Name</f>
        <v>Max Mustermann</v>
      </c>
      <c r="E472" s="25"/>
      <c r="F472" s="25"/>
      <c r="G472" s="25"/>
      <c r="H472" s="26"/>
      <c r="I472" s="27"/>
      <c r="J472" s="27"/>
      <c r="K472" s="260"/>
      <c r="M472" s="317" t="s">
        <v>188</v>
      </c>
      <c r="N472" s="257"/>
    </row>
    <row r="473" spans="1:14" ht="9.75" customHeight="1" x14ac:dyDescent="0.25">
      <c r="A473" s="29"/>
      <c r="C473" s="26"/>
      <c r="D473" s="28"/>
      <c r="E473" s="26"/>
      <c r="F473" s="26"/>
      <c r="G473" s="26"/>
      <c r="H473" s="26"/>
      <c r="I473" s="26"/>
      <c r="J473" s="26"/>
      <c r="K473" s="259"/>
      <c r="N473" s="327"/>
    </row>
    <row r="474" spans="1:14" x14ac:dyDescent="0.25">
      <c r="A474" s="29"/>
      <c r="B474" s="545" t="s">
        <v>189</v>
      </c>
      <c r="C474" s="545"/>
      <c r="D474" s="26">
        <f>Personalnummer</f>
        <v>123456789</v>
      </c>
      <c r="G474" s="26"/>
      <c r="H474" s="184" t="s">
        <v>190</v>
      </c>
      <c r="I474" s="540">
        <f>Geburtstag</f>
        <v>16833</v>
      </c>
      <c r="J474" s="540"/>
      <c r="K474" s="261"/>
      <c r="N474" s="327"/>
    </row>
    <row r="475" spans="1:14" x14ac:dyDescent="0.25">
      <c r="A475" s="29"/>
      <c r="C475" s="26"/>
      <c r="D475" s="28"/>
      <c r="E475" s="26"/>
      <c r="F475" s="26"/>
      <c r="G475" s="26"/>
      <c r="H475" s="26"/>
      <c r="I475" s="26"/>
      <c r="J475" s="26"/>
      <c r="K475" s="259"/>
      <c r="N475" s="327"/>
    </row>
    <row r="476" spans="1:14" x14ac:dyDescent="0.25">
      <c r="A476" s="29"/>
      <c r="B476" s="541" t="s">
        <v>191</v>
      </c>
      <c r="C476" s="541"/>
      <c r="D476" s="542">
        <f>B482</f>
        <v>42277</v>
      </c>
      <c r="E476" s="542"/>
      <c r="F476" s="542"/>
      <c r="G476" s="542"/>
      <c r="H476" s="542"/>
      <c r="I476" s="186"/>
      <c r="J476" s="543"/>
      <c r="K476" s="544"/>
      <c r="N476" s="327"/>
    </row>
    <row r="477" spans="1:14" ht="15" customHeight="1" x14ac:dyDescent="0.25">
      <c r="B477" s="557"/>
      <c r="C477" s="557"/>
      <c r="D477" s="558" t="s">
        <v>192</v>
      </c>
      <c r="E477" s="546" t="s">
        <v>38</v>
      </c>
      <c r="F477" s="546" t="s">
        <v>39</v>
      </c>
      <c r="G477" s="546" t="s">
        <v>105</v>
      </c>
      <c r="H477" s="548" t="s">
        <v>81</v>
      </c>
      <c r="I477" s="30" t="s">
        <v>193</v>
      </c>
      <c r="J477" s="550" t="s">
        <v>63</v>
      </c>
      <c r="K477" s="551"/>
      <c r="N477" s="327"/>
    </row>
    <row r="478" spans="1:14" x14ac:dyDescent="0.25">
      <c r="B478" s="557"/>
      <c r="C478" s="557"/>
      <c r="D478" s="558"/>
      <c r="E478" s="547"/>
      <c r="F478" s="547"/>
      <c r="G478" s="547"/>
      <c r="H478" s="549"/>
      <c r="I478" s="552"/>
      <c r="J478" s="550"/>
      <c r="K478" s="551"/>
      <c r="N478" s="327"/>
    </row>
    <row r="479" spans="1:14" x14ac:dyDescent="0.25">
      <c r="B479" s="557"/>
      <c r="C479" s="186"/>
      <c r="D479" s="31" t="s">
        <v>194</v>
      </c>
      <c r="E479" s="186" t="s">
        <v>195</v>
      </c>
      <c r="F479" s="186"/>
      <c r="G479" s="186" t="s">
        <v>196</v>
      </c>
      <c r="H479" s="32"/>
      <c r="I479" s="544"/>
      <c r="J479" s="543"/>
      <c r="K479" s="554"/>
      <c r="N479" s="327"/>
    </row>
    <row r="480" spans="1:14" x14ac:dyDescent="0.25">
      <c r="B480" s="186" t="s">
        <v>80</v>
      </c>
      <c r="C480" s="186" t="s">
        <v>128</v>
      </c>
      <c r="D480" s="31"/>
      <c r="E480" s="186" t="s">
        <v>197</v>
      </c>
      <c r="F480" s="186" t="s">
        <v>197</v>
      </c>
      <c r="G480" s="186" t="s">
        <v>197</v>
      </c>
      <c r="H480" s="32" t="s">
        <v>197</v>
      </c>
      <c r="I480" s="553"/>
      <c r="J480" s="555"/>
      <c r="K480" s="556"/>
      <c r="N480" s="327"/>
    </row>
    <row r="481" spans="2:14" x14ac:dyDescent="0.25">
      <c r="B481" s="186"/>
      <c r="C481" s="186"/>
      <c r="D481" s="33"/>
      <c r="E481" s="16"/>
      <c r="F481" s="186"/>
      <c r="G481" s="186"/>
      <c r="H481" s="32"/>
      <c r="I481" s="30"/>
      <c r="J481" s="34"/>
      <c r="K481" s="262"/>
      <c r="N481" s="327"/>
    </row>
    <row r="482" spans="2:14" x14ac:dyDescent="0.25">
      <c r="B482" s="245">
        <f>Okt!F8</f>
        <v>42277</v>
      </c>
      <c r="C482" s="35">
        <f t="shared" si="5"/>
        <v>42277</v>
      </c>
      <c r="D482" s="17" t="str">
        <f>IF(AND(VLOOKUP(B482,Okt!B:AZ,8,FALSE)&gt;0,VLOOKUP(B482,Okt!B:AZ,6,FALSE)=""), CONCATENATE(TEXT(VLOOKUP(B482,Okt!B:AZ,7,FALSE),"hh:mm"), "-", TEXT(VLOOKUP(B482,Okt!B:AZ,8,FALSE),"[hh]:mm")," Uhr ", IF(VLOOKUP(B482,Okt!B:AZ,12,FALSE)&gt;0, CONCATENATE("und ",TEXT(VLOOKUP(B482,Okt!B:AZ,12,FALSE),"hh:mm"), "-", TEXT(VLOOKUP(B482,Okt!B:AZ,13,FALSE),"[hh]:mm")," Uhr "),"")), IF(VLOOKUP(B482,Okt!B:AZ,6,FALSE)="","",VLOOKUP(VLOOKUP(B482,Okt!B:AZ,6,FALSE),Legende_Code,2,FALSE)))</f>
        <v/>
      </c>
      <c r="E482" s="16" t="str">
        <f>IF(AND(VLOOKUP(B482,Okt!B:AZ,6,FALSE)="", WEEKDAY(B482,2)=6,VLOOKUP(B482,Okt!B:AZ,48,FALSE)&gt;0),VLOOKUP(B482,Okt!B:AZ,48,FALSE)*24,"")</f>
        <v/>
      </c>
      <c r="F482" s="16" t="str">
        <f>IF(AND(VLOOKUP(B482,Okt!B:AZ,6,FALSE)="", WEEKDAY(B482,2)=7,VLOOKUP(B482,Okt!B:AZ,49,FALSE)&gt;0),VLOOKUP(B482,Okt!B:AZ,49,FALSE)*24,"")</f>
        <v/>
      </c>
      <c r="G482" s="16" t="str">
        <f>IF(AND(VLOOKUP(B482,Okt!B:AZ,6,FALSE)="",VLOOKUP(B482,Okt!B:AZ,46,FALSE)&gt;0),VLOOKUP(B482,Okt!B:AZ,46,FALSE)*24,"")</f>
        <v/>
      </c>
      <c r="H482" s="36" t="str">
        <f>IF(AND(VLOOKUP(B482,Okt!B:AZ,6,FALSE)="",VLOOKUP(B482,Okt!B:AZ,50,FALSE)&gt;0),VLOOKUP(B482,Okt!B:AZ,50,FALSE)*24,"")</f>
        <v/>
      </c>
      <c r="I482" s="30" t="str">
        <f>IF(AND(NETWORKDAYS(B482,B482,Feiertage)=1,VLOOKUP(B482,Okt!B:AZ,6,FALSE)="U"),"Urlaub","")</f>
        <v/>
      </c>
      <c r="J482" s="34" t="str">
        <f ca="1">IF(AND(VLOOKUP(B482,Okt!B:AZ,6,FALSE)="",VLOOKUP(B482,Okt!B:AZ,22,FALSE)&lt;0),"Absetzen von","")</f>
        <v/>
      </c>
      <c r="K482" s="263"/>
      <c r="L482" s="46"/>
      <c r="M482" s="316" t="str">
        <f ca="1">IF(VLOOKUP(B482,Okt!B:AZ,22,FALSE)&lt;&gt;0,VLOOKUP(B482,Okt!B:AZ,22,FALSE),"")</f>
        <v/>
      </c>
      <c r="N482" s="327"/>
    </row>
    <row r="483" spans="2:14" x14ac:dyDescent="0.25">
      <c r="B483" s="245">
        <f>Okt!F9</f>
        <v>42278</v>
      </c>
      <c r="C483" s="35">
        <f t="shared" si="5"/>
        <v>42278</v>
      </c>
      <c r="D483" s="17" t="str">
        <f>IF(AND(VLOOKUP(B483,Okt!B:AZ,8,FALSE)&gt;0,VLOOKUP(B483,Okt!B:AZ,6,FALSE)=""), CONCATENATE(TEXT(VLOOKUP(B483,Okt!B:AZ,7,FALSE),"hh:mm"), "-", TEXT(VLOOKUP(B483,Okt!B:AZ,8,FALSE),"[hh]:mm")," Uhr ", IF(VLOOKUP(B483,Okt!B:AZ,12,FALSE)&gt;0, CONCATENATE("und ",TEXT(VLOOKUP(B483,Okt!B:AZ,12,FALSE),"hh:mm"), "-", TEXT(VLOOKUP(B483,Okt!B:AZ,13,FALSE),"[hh]:mm")," Uhr "),"")), IF(VLOOKUP(B483,Okt!B:AZ,6,FALSE)="","",VLOOKUP(VLOOKUP(B483,Okt!B:AZ,6,FALSE),Legende_Code,2,FALSE)))</f>
        <v/>
      </c>
      <c r="E483" s="16" t="str">
        <f>IF(AND(VLOOKUP(B483,Okt!B:AZ,6,FALSE)="", WEEKDAY(B483,2)=6,VLOOKUP(B483,Okt!B:AZ,48,FALSE)&gt;0),VLOOKUP(B483,Okt!B:AZ,48,FALSE)*24,"")</f>
        <v/>
      </c>
      <c r="F483" s="16" t="str">
        <f>IF(AND(VLOOKUP(B483,Okt!B:AZ,6,FALSE)="", WEEKDAY(B483,2)=7,VLOOKUP(B483,Okt!B:AZ,49,FALSE)&gt;0),VLOOKUP(B483,Okt!B:AZ,49,FALSE)*24,"")</f>
        <v/>
      </c>
      <c r="G483" s="16" t="str">
        <f>IF(AND(VLOOKUP(B483,Okt!B:AZ,6,FALSE)="",VLOOKUP(B483,Okt!B:AZ,46,FALSE)&gt;0),VLOOKUP(B483,Okt!B:AZ,46,FALSE)*24,"")</f>
        <v/>
      </c>
      <c r="H483" s="36" t="str">
        <f>IF(AND(VLOOKUP(B483,Okt!B:AZ,6,FALSE)="",VLOOKUP(B483,Okt!B:AZ,50,FALSE)&gt;0),VLOOKUP(B483,Okt!B:AZ,50,FALSE)*24,"")</f>
        <v/>
      </c>
      <c r="I483" s="30" t="str">
        <f>IF(AND(NETWORKDAYS(B483,B483,Feiertage)=1,VLOOKUP(B483,Okt!B:AZ,6,FALSE)="U"),"Urlaub","")</f>
        <v/>
      </c>
      <c r="J483" s="34" t="str">
        <f ca="1">IF(AND(VLOOKUP(B483,Okt!B:AZ,6,FALSE)="",VLOOKUP(B483,Okt!B:AZ,22,FALSE)&lt;0),"Absetzen von","")</f>
        <v/>
      </c>
      <c r="K483" s="263"/>
      <c r="M483" s="316" t="str">
        <f ca="1">IF(VLOOKUP(B483,Okt!B:AZ,22,FALSE)&lt;&gt;0,VLOOKUP(B483,Okt!B:AZ,22,FALSE),"")</f>
        <v/>
      </c>
      <c r="N483" s="327"/>
    </row>
    <row r="484" spans="2:14" x14ac:dyDescent="0.25">
      <c r="B484" s="245">
        <f>Okt!F10</f>
        <v>42279</v>
      </c>
      <c r="C484" s="35">
        <f t="shared" ref="C484:C558" si="6">B484</f>
        <v>42279</v>
      </c>
      <c r="D484" s="17" t="str">
        <f>IF(AND(VLOOKUP(B484,Okt!B:AZ,8,FALSE)&gt;0,VLOOKUP(B484,Okt!B:AZ,6,FALSE)=""), CONCATENATE(TEXT(VLOOKUP(B484,Okt!B:AZ,7,FALSE),"hh:mm"), "-", TEXT(VLOOKUP(B484,Okt!B:AZ,8,FALSE),"[hh]:mm")," Uhr ", IF(VLOOKUP(B484,Okt!B:AZ,12,FALSE)&gt;0, CONCATENATE("und ",TEXT(VLOOKUP(B484,Okt!B:AZ,12,FALSE),"hh:mm"), "-", TEXT(VLOOKUP(B484,Okt!B:AZ,13,FALSE),"[hh]:mm")," Uhr "),"")), IF(VLOOKUP(B484,Okt!B:AZ,6,FALSE)="","",VLOOKUP(VLOOKUP(B484,Okt!B:AZ,6,FALSE),Legende_Code,2,FALSE)))</f>
        <v/>
      </c>
      <c r="E484" s="16" t="str">
        <f>IF(AND(VLOOKUP(B484,Okt!B:AZ,6,FALSE)="", WEEKDAY(B484,2)=6,VLOOKUP(B484,Okt!B:AZ,48,FALSE)&gt;0),VLOOKUP(B484,Okt!B:AZ,48,FALSE)*24,"")</f>
        <v/>
      </c>
      <c r="F484" s="16" t="str">
        <f>IF(AND(VLOOKUP(B484,Okt!B:AZ,6,FALSE)="", WEEKDAY(B484,2)=7,VLOOKUP(B484,Okt!B:AZ,49,FALSE)&gt;0),VLOOKUP(B484,Okt!B:AZ,49,FALSE)*24,"")</f>
        <v/>
      </c>
      <c r="G484" s="16" t="str">
        <f>IF(AND(VLOOKUP(B484,Okt!B:AZ,6,FALSE)="",VLOOKUP(B484,Okt!B:AZ,46,FALSE)&gt;0),VLOOKUP(B484,Okt!B:AZ,46,FALSE)*24,"")</f>
        <v/>
      </c>
      <c r="H484" s="36" t="str">
        <f>IF(AND(VLOOKUP(B484,Okt!B:AZ,6,FALSE)="",VLOOKUP(B484,Okt!B:AZ,50,FALSE)&gt;0),VLOOKUP(B484,Okt!B:AZ,50,FALSE)*24,"")</f>
        <v/>
      </c>
      <c r="I484" s="30" t="str">
        <f>IF(AND(NETWORKDAYS(B484,B484,Feiertage)=1,VLOOKUP(B484,Okt!B:AZ,6,FALSE)="U"),"Urlaub","")</f>
        <v/>
      </c>
      <c r="J484" s="34" t="str">
        <f>IF(AND(VLOOKUP(B484,Okt!B:AZ,6,FALSE)="",VLOOKUP(B484,Okt!B:AZ,22,FALSE)&lt;0),"Absetzen von","")</f>
        <v/>
      </c>
      <c r="K484" s="263"/>
      <c r="M484" s="316" t="str">
        <f>IF(VLOOKUP(B484,Okt!B:AZ,22,FALSE)&lt;&gt;0,VLOOKUP(B484,Okt!B:AZ,22,FALSE),"")</f>
        <v/>
      </c>
      <c r="N484" s="327"/>
    </row>
    <row r="485" spans="2:14" x14ac:dyDescent="0.25">
      <c r="B485" s="245">
        <f>Okt!F11</f>
        <v>42280</v>
      </c>
      <c r="C485" s="35">
        <f t="shared" si="6"/>
        <v>42280</v>
      </c>
      <c r="D485" s="17" t="str">
        <f>IF(AND(VLOOKUP(B485,Okt!B:AZ,8,FALSE)&gt;0,VLOOKUP(B485,Okt!B:AZ,6,FALSE)=""), CONCATENATE(TEXT(VLOOKUP(B485,Okt!B:AZ,7,FALSE),"hh:mm"), "-", TEXT(VLOOKUP(B485,Okt!B:AZ,8,FALSE),"[hh]:mm")," Uhr ", IF(VLOOKUP(B485,Okt!B:AZ,12,FALSE)&gt;0, CONCATENATE("und ",TEXT(VLOOKUP(B485,Okt!B:AZ,12,FALSE),"hh:mm"), "-", TEXT(VLOOKUP(B485,Okt!B:AZ,13,FALSE),"[hh]:mm")," Uhr "),"")), IF(VLOOKUP(B485,Okt!B:AZ,6,FALSE)="","",VLOOKUP(VLOOKUP(B485,Okt!B:AZ,6,FALSE),Legende_Code,2,FALSE)))</f>
        <v/>
      </c>
      <c r="E485" s="16" t="str">
        <f>IF(AND(VLOOKUP(B485,Okt!B:AZ,6,FALSE)="", WEEKDAY(B485,2)=6,VLOOKUP(B485,Okt!B:AZ,48,FALSE)&gt;0),VLOOKUP(B485,Okt!B:AZ,48,FALSE)*24,"")</f>
        <v/>
      </c>
      <c r="F485" s="16" t="str">
        <f>IF(AND(VLOOKUP(B485,Okt!B:AZ,6,FALSE)="", WEEKDAY(B485,2)=7,VLOOKUP(B485,Okt!B:AZ,49,FALSE)&gt;0),VLOOKUP(B485,Okt!B:AZ,49,FALSE)*24,"")</f>
        <v/>
      </c>
      <c r="G485" s="16" t="str">
        <f>IF(AND(VLOOKUP(B485,Okt!B:AZ,6,FALSE)="",VLOOKUP(B485,Okt!B:AZ,46,FALSE)&gt;0),VLOOKUP(B485,Okt!B:AZ,46,FALSE)*24,"")</f>
        <v/>
      </c>
      <c r="H485" s="36" t="str">
        <f>IF(AND(VLOOKUP(B485,Okt!B:AZ,6,FALSE)="",VLOOKUP(B485,Okt!B:AZ,50,FALSE)&gt;0),VLOOKUP(B485,Okt!B:AZ,50,FALSE)*24,"")</f>
        <v/>
      </c>
      <c r="I485" s="30" t="str">
        <f>IF(AND(NETWORKDAYS(B485,B485,Feiertage)=1,VLOOKUP(B485,Okt!B:AZ,6,FALSE)="U"),"Urlaub","")</f>
        <v/>
      </c>
      <c r="J485" s="34" t="str">
        <f ca="1">IF(AND(VLOOKUP(B485,Okt!B:AZ,6,FALSE)="",VLOOKUP(B485,Okt!B:AZ,22,FALSE)&lt;0),"Absetzen von","")</f>
        <v/>
      </c>
      <c r="K485" s="263"/>
      <c r="M485" s="316" t="str">
        <f ca="1">IF(VLOOKUP(B485,Okt!B:AZ,22,FALSE)&lt;&gt;0,VLOOKUP(B485,Okt!B:AZ,22,FALSE),"")</f>
        <v/>
      </c>
      <c r="N485" s="327"/>
    </row>
    <row r="486" spans="2:14" x14ac:dyDescent="0.25">
      <c r="B486" s="245">
        <f>Okt!F12</f>
        <v>42281</v>
      </c>
      <c r="C486" s="35">
        <f t="shared" si="6"/>
        <v>42281</v>
      </c>
      <c r="D486" s="17" t="str">
        <f>IF(AND(VLOOKUP(B486,Okt!B:AZ,8,FALSE)&gt;0,VLOOKUP(B486,Okt!B:AZ,6,FALSE)=""), CONCATENATE(TEXT(VLOOKUP(B486,Okt!B:AZ,7,FALSE),"hh:mm"), "-", TEXT(VLOOKUP(B486,Okt!B:AZ,8,FALSE),"[hh]:mm")," Uhr ", IF(VLOOKUP(B486,Okt!B:AZ,12,FALSE)&gt;0, CONCATENATE("und ",TEXT(VLOOKUP(B486,Okt!B:AZ,12,FALSE),"hh:mm"), "-", TEXT(VLOOKUP(B486,Okt!B:AZ,13,FALSE),"[hh]:mm")," Uhr "),"")), IF(VLOOKUP(B486,Okt!B:AZ,6,FALSE)="","",VLOOKUP(VLOOKUP(B486,Okt!B:AZ,6,FALSE),Legende_Code,2,FALSE)))</f>
        <v/>
      </c>
      <c r="E486" s="16" t="str">
        <f>IF(AND(VLOOKUP(B486,Okt!B:AZ,6,FALSE)="", WEEKDAY(B486,2)=6,VLOOKUP(B486,Okt!B:AZ,48,FALSE)&gt;0),VLOOKUP(B486,Okt!B:AZ,48,FALSE)*24,"")</f>
        <v/>
      </c>
      <c r="F486" s="16" t="str">
        <f>IF(AND(VLOOKUP(B486,Okt!B:AZ,6,FALSE)="", WEEKDAY(B486,2)=7,VLOOKUP(B486,Okt!B:AZ,49,FALSE)&gt;0),VLOOKUP(B486,Okt!B:AZ,49,FALSE)*24,"")</f>
        <v/>
      </c>
      <c r="G486" s="16" t="str">
        <f>IF(AND(VLOOKUP(B486,Okt!B:AZ,6,FALSE)="",VLOOKUP(B486,Okt!B:AZ,46,FALSE)&gt;0),VLOOKUP(B486,Okt!B:AZ,46,FALSE)*24,"")</f>
        <v/>
      </c>
      <c r="H486" s="36" t="str">
        <f>IF(AND(VLOOKUP(B486,Okt!B:AZ,6,FALSE)="",VLOOKUP(B486,Okt!B:AZ,50,FALSE)&gt;0),VLOOKUP(B486,Okt!B:AZ,50,FALSE)*24,"")</f>
        <v/>
      </c>
      <c r="I486" s="30" t="str">
        <f>IF(AND(NETWORKDAYS(B486,B486,Feiertage)=1,VLOOKUP(B486,Okt!B:AZ,6,FALSE)="U"),"Urlaub","")</f>
        <v/>
      </c>
      <c r="J486" s="34" t="str">
        <f ca="1">IF(AND(VLOOKUP(B486,Okt!B:AZ,6,FALSE)="",VLOOKUP(B486,Okt!B:AZ,22,FALSE)&lt;0),"Absetzen von","")</f>
        <v/>
      </c>
      <c r="K486" s="263"/>
      <c r="M486" s="316" t="str">
        <f ca="1">IF(VLOOKUP(B486,Okt!B:AZ,22,FALSE)&lt;&gt;0,VLOOKUP(B486,Okt!B:AZ,22,FALSE),"")</f>
        <v/>
      </c>
      <c r="N486" s="327"/>
    </row>
    <row r="487" spans="2:14" x14ac:dyDescent="0.25">
      <c r="B487" s="245">
        <f>Okt!F13</f>
        <v>42282</v>
      </c>
      <c r="C487" s="35">
        <f t="shared" si="6"/>
        <v>42282</v>
      </c>
      <c r="D487" s="17" t="str">
        <f>IF(AND(VLOOKUP(B487,Okt!B:AZ,8,FALSE)&gt;0,VLOOKUP(B487,Okt!B:AZ,6,FALSE)=""), CONCATENATE(TEXT(VLOOKUP(B487,Okt!B:AZ,7,FALSE),"hh:mm"), "-", TEXT(VLOOKUP(B487,Okt!B:AZ,8,FALSE),"[hh]:mm")," Uhr ", IF(VLOOKUP(B487,Okt!B:AZ,12,FALSE)&gt;0, CONCATENATE("und ",TEXT(VLOOKUP(B487,Okt!B:AZ,12,FALSE),"hh:mm"), "-", TEXT(VLOOKUP(B487,Okt!B:AZ,13,FALSE),"[hh]:mm")," Uhr "),"")), IF(VLOOKUP(B487,Okt!B:AZ,6,FALSE)="","",VLOOKUP(VLOOKUP(B487,Okt!B:AZ,6,FALSE),Legende_Code,2,FALSE)))</f>
        <v/>
      </c>
      <c r="E487" s="16" t="str">
        <f>IF(AND(VLOOKUP(B487,Okt!B:AZ,6,FALSE)="", WEEKDAY(B487,2)=6,VLOOKUP(B487,Okt!B:AZ,48,FALSE)&gt;0),VLOOKUP(B487,Okt!B:AZ,48,FALSE)*24,"")</f>
        <v/>
      </c>
      <c r="F487" s="16" t="str">
        <f>IF(AND(VLOOKUP(B487,Okt!B:AZ,6,FALSE)="", WEEKDAY(B487,2)=7,VLOOKUP(B487,Okt!B:AZ,49,FALSE)&gt;0),VLOOKUP(B487,Okt!B:AZ,49,FALSE)*24,"")</f>
        <v/>
      </c>
      <c r="G487" s="16" t="str">
        <f>IF(AND(VLOOKUP(B487,Okt!B:AZ,6,FALSE)="",VLOOKUP(B487,Okt!B:AZ,46,FALSE)&gt;0),VLOOKUP(B487,Okt!B:AZ,46,FALSE)*24,"")</f>
        <v/>
      </c>
      <c r="H487" s="36" t="str">
        <f>IF(AND(VLOOKUP(B487,Okt!B:AZ,6,FALSE)="",VLOOKUP(B487,Okt!B:AZ,50,FALSE)&gt;0),VLOOKUP(B487,Okt!B:AZ,50,FALSE)*24,"")</f>
        <v/>
      </c>
      <c r="I487" s="30" t="str">
        <f>IF(AND(NETWORKDAYS(B487,B487,Feiertage)=1,VLOOKUP(B487,Okt!B:AZ,6,FALSE)="U"),"Urlaub","")</f>
        <v/>
      </c>
      <c r="J487" s="34" t="str">
        <f ca="1">IF(AND(VLOOKUP(B487,Okt!B:AZ,6,FALSE)="",VLOOKUP(B487,Okt!B:AZ,22,FALSE)&lt;0),"Absetzen von","")</f>
        <v/>
      </c>
      <c r="K487" s="263"/>
      <c r="M487" s="316" t="str">
        <f ca="1">IF(VLOOKUP(B487,Okt!B:AZ,22,FALSE)&lt;&gt;0,VLOOKUP(B487,Okt!B:AZ,22,FALSE),"")</f>
        <v/>
      </c>
      <c r="N487" s="327"/>
    </row>
    <row r="488" spans="2:14" x14ac:dyDescent="0.25">
      <c r="B488" s="245">
        <f>Okt!F14</f>
        <v>42283</v>
      </c>
      <c r="C488" s="35">
        <f t="shared" si="6"/>
        <v>42283</v>
      </c>
      <c r="D488" s="17" t="str">
        <f>IF(AND(VLOOKUP(B488,Okt!B:AZ,8,FALSE)&gt;0,VLOOKUP(B488,Okt!B:AZ,6,FALSE)=""), CONCATENATE(TEXT(VLOOKUP(B488,Okt!B:AZ,7,FALSE),"hh:mm"), "-", TEXT(VLOOKUP(B488,Okt!B:AZ,8,FALSE),"[hh]:mm")," Uhr ", IF(VLOOKUP(B488,Okt!B:AZ,12,FALSE)&gt;0, CONCATENATE("und ",TEXT(VLOOKUP(B488,Okt!B:AZ,12,FALSE),"hh:mm"), "-", TEXT(VLOOKUP(B488,Okt!B:AZ,13,FALSE),"[hh]:mm")," Uhr "),"")), IF(VLOOKUP(B488,Okt!B:AZ,6,FALSE)="","",VLOOKUP(VLOOKUP(B488,Okt!B:AZ,6,FALSE),Legende_Code,2,FALSE)))</f>
        <v/>
      </c>
      <c r="E488" s="16" t="str">
        <f>IF(AND(VLOOKUP(B488,Okt!B:AZ,6,FALSE)="", WEEKDAY(B488,2)=6,VLOOKUP(B488,Okt!B:AZ,48,FALSE)&gt;0),VLOOKUP(B488,Okt!B:AZ,48,FALSE)*24,"")</f>
        <v/>
      </c>
      <c r="F488" s="16" t="str">
        <f>IF(AND(VLOOKUP(B488,Okt!B:AZ,6,FALSE)="", WEEKDAY(B488,2)=7,VLOOKUP(B488,Okt!B:AZ,49,FALSE)&gt;0),VLOOKUP(B488,Okt!B:AZ,49,FALSE)*24,"")</f>
        <v/>
      </c>
      <c r="G488" s="16" t="str">
        <f>IF(AND(VLOOKUP(B488,Okt!B:AZ,6,FALSE)="",VLOOKUP(B488,Okt!B:AZ,46,FALSE)&gt;0),VLOOKUP(B488,Okt!B:AZ,46,FALSE)*24,"")</f>
        <v/>
      </c>
      <c r="H488" s="36" t="str">
        <f>IF(AND(VLOOKUP(B488,Okt!B:AZ,6,FALSE)="",VLOOKUP(B488,Okt!B:AZ,50,FALSE)&gt;0),VLOOKUP(B488,Okt!B:AZ,50,FALSE)*24,"")</f>
        <v/>
      </c>
      <c r="I488" s="30" t="str">
        <f>IF(AND(NETWORKDAYS(B488,B488,Feiertage)=1,VLOOKUP(B488,Okt!B:AZ,6,FALSE)="U"),"Urlaub","")</f>
        <v/>
      </c>
      <c r="J488" s="34" t="str">
        <f ca="1">IF(AND(VLOOKUP(B488,Okt!B:AZ,6,FALSE)="",VLOOKUP(B488,Okt!B:AZ,22,FALSE)&lt;0),"Absetzen von","")</f>
        <v/>
      </c>
      <c r="K488" s="263"/>
      <c r="M488" s="316" t="str">
        <f ca="1">IF(VLOOKUP(B488,Okt!B:AZ,22,FALSE)&lt;&gt;0,VLOOKUP(B488,Okt!B:AZ,22,FALSE),"")</f>
        <v/>
      </c>
      <c r="N488" s="327"/>
    </row>
    <row r="489" spans="2:14" x14ac:dyDescent="0.25">
      <c r="B489" s="245">
        <f>Okt!F15</f>
        <v>42284</v>
      </c>
      <c r="C489" s="35">
        <f t="shared" si="6"/>
        <v>42284</v>
      </c>
      <c r="D489" s="17" t="str">
        <f>IF(AND(VLOOKUP(B489,Okt!B:AZ,8,FALSE)&gt;0,VLOOKUP(B489,Okt!B:AZ,6,FALSE)=""), CONCATENATE(TEXT(VLOOKUP(B489,Okt!B:AZ,7,FALSE),"hh:mm"), "-", TEXT(VLOOKUP(B489,Okt!B:AZ,8,FALSE),"[hh]:mm")," Uhr ", IF(VLOOKUP(B489,Okt!B:AZ,12,FALSE)&gt;0, CONCATENATE("und ",TEXT(VLOOKUP(B489,Okt!B:AZ,12,FALSE),"hh:mm"), "-", TEXT(VLOOKUP(B489,Okt!B:AZ,13,FALSE),"[hh]:mm")," Uhr "),"")), IF(VLOOKUP(B489,Okt!B:AZ,6,FALSE)="","",VLOOKUP(VLOOKUP(B489,Okt!B:AZ,6,FALSE),Legende_Code,2,FALSE)))</f>
        <v/>
      </c>
      <c r="E489" s="16" t="str">
        <f>IF(AND(VLOOKUP(B489,Okt!B:AZ,6,FALSE)="", WEEKDAY(B489,2)=6,VLOOKUP(B489,Okt!B:AZ,48,FALSE)&gt;0),VLOOKUP(B489,Okt!B:AZ,48,FALSE)*24,"")</f>
        <v/>
      </c>
      <c r="F489" s="16" t="str">
        <f>IF(AND(VLOOKUP(B489,Okt!B:AZ,6,FALSE)="", WEEKDAY(B489,2)=7,VLOOKUP(B489,Okt!B:AZ,49,FALSE)&gt;0),VLOOKUP(B489,Okt!B:AZ,49,FALSE)*24,"")</f>
        <v/>
      </c>
      <c r="G489" s="16" t="str">
        <f>IF(AND(VLOOKUP(B489,Okt!B:AZ,6,FALSE)="",VLOOKUP(B489,Okt!B:AZ,46,FALSE)&gt;0),VLOOKUP(B489,Okt!B:AZ,46,FALSE)*24,"")</f>
        <v/>
      </c>
      <c r="H489" s="36" t="str">
        <f>IF(AND(VLOOKUP(B489,Okt!B:AZ,6,FALSE)="",VLOOKUP(B489,Okt!B:AZ,50,FALSE)&gt;0),VLOOKUP(B489,Okt!B:AZ,50,FALSE)*24,"")</f>
        <v/>
      </c>
      <c r="I489" s="30" t="str">
        <f>IF(AND(NETWORKDAYS(B489,B489,Feiertage)=1,VLOOKUP(B489,Okt!B:AZ,6,FALSE)="U"),"Urlaub","")</f>
        <v/>
      </c>
      <c r="J489" s="34" t="str">
        <f ca="1">IF(AND(VLOOKUP(B489,Okt!B:AZ,6,FALSE)="",VLOOKUP(B489,Okt!B:AZ,22,FALSE)&lt;0),"Absetzen von","")</f>
        <v/>
      </c>
      <c r="K489" s="263"/>
      <c r="M489" s="316" t="str">
        <f ca="1">IF(VLOOKUP(B489,Okt!B:AZ,22,FALSE)&lt;&gt;0,VLOOKUP(B489,Okt!B:AZ,22,FALSE),"")</f>
        <v/>
      </c>
      <c r="N489" s="327"/>
    </row>
    <row r="490" spans="2:14" x14ac:dyDescent="0.25">
      <c r="B490" s="245">
        <f>Okt!F16</f>
        <v>42285</v>
      </c>
      <c r="C490" s="35">
        <f t="shared" si="6"/>
        <v>42285</v>
      </c>
      <c r="D490" s="17" t="str">
        <f>IF(AND(VLOOKUP(B490,Okt!B:AZ,8,FALSE)&gt;0,VLOOKUP(B490,Okt!B:AZ,6,FALSE)=""), CONCATENATE(TEXT(VLOOKUP(B490,Okt!B:AZ,7,FALSE),"hh:mm"), "-", TEXT(VLOOKUP(B490,Okt!B:AZ,8,FALSE),"[hh]:mm")," Uhr ", IF(VLOOKUP(B490,Okt!B:AZ,12,FALSE)&gt;0, CONCATENATE("und ",TEXT(VLOOKUP(B490,Okt!B:AZ,12,FALSE),"hh:mm"), "-", TEXT(VLOOKUP(B490,Okt!B:AZ,13,FALSE),"[hh]:mm")," Uhr "),"")), IF(VLOOKUP(B490,Okt!B:AZ,6,FALSE)="","",VLOOKUP(VLOOKUP(B490,Okt!B:AZ,6,FALSE),Legende_Code,2,FALSE)))</f>
        <v/>
      </c>
      <c r="E490" s="16" t="str">
        <f>IF(AND(VLOOKUP(B490,Okt!B:AZ,6,FALSE)="", WEEKDAY(B490,2)=6,VLOOKUP(B490,Okt!B:AZ,48,FALSE)&gt;0),VLOOKUP(B490,Okt!B:AZ,48,FALSE)*24,"")</f>
        <v/>
      </c>
      <c r="F490" s="16" t="str">
        <f>IF(AND(VLOOKUP(B490,Okt!B:AZ,6,FALSE)="", WEEKDAY(B490,2)=7,VLOOKUP(B490,Okt!B:AZ,49,FALSE)&gt;0),VLOOKUP(B490,Okt!B:AZ,49,FALSE)*24,"")</f>
        <v/>
      </c>
      <c r="G490" s="16" t="str">
        <f>IF(AND(VLOOKUP(B490,Okt!B:AZ,6,FALSE)="",VLOOKUP(B490,Okt!B:AZ,46,FALSE)&gt;0),VLOOKUP(B490,Okt!B:AZ,46,FALSE)*24,"")</f>
        <v/>
      </c>
      <c r="H490" s="36" t="str">
        <f>IF(AND(VLOOKUP(B490,Okt!B:AZ,6,FALSE)="",VLOOKUP(B490,Okt!B:AZ,50,FALSE)&gt;0),VLOOKUP(B490,Okt!B:AZ,50,FALSE)*24,"")</f>
        <v/>
      </c>
      <c r="I490" s="30" t="str">
        <f>IF(AND(NETWORKDAYS(B490,B490,Feiertage)=1,VLOOKUP(B490,Okt!B:AZ,6,FALSE)="U"),"Urlaub","")</f>
        <v/>
      </c>
      <c r="J490" s="34" t="str">
        <f ca="1">IF(AND(VLOOKUP(B490,Okt!B:AZ,6,FALSE)="",VLOOKUP(B490,Okt!B:AZ,22,FALSE)&lt;0),"Absetzen von","")</f>
        <v/>
      </c>
      <c r="K490" s="263"/>
      <c r="M490" s="316" t="str">
        <f ca="1">IF(VLOOKUP(B490,Okt!B:AZ,22,FALSE)&lt;&gt;0,VLOOKUP(B490,Okt!B:AZ,22,FALSE),"")</f>
        <v/>
      </c>
      <c r="N490" s="327"/>
    </row>
    <row r="491" spans="2:14" x14ac:dyDescent="0.25">
      <c r="B491" s="245">
        <f>Okt!F17</f>
        <v>42286</v>
      </c>
      <c r="C491" s="35">
        <f t="shared" si="6"/>
        <v>42286</v>
      </c>
      <c r="D491" s="17" t="str">
        <f>IF(AND(VLOOKUP(B491,Okt!B:AZ,8,FALSE)&gt;0,VLOOKUP(B491,Okt!B:AZ,6,FALSE)=""), CONCATENATE(TEXT(VLOOKUP(B491,Okt!B:AZ,7,FALSE),"hh:mm"), "-", TEXT(VLOOKUP(B491,Okt!B:AZ,8,FALSE),"[hh]:mm")," Uhr ", IF(VLOOKUP(B491,Okt!B:AZ,12,FALSE)&gt;0, CONCATENATE("und ",TEXT(VLOOKUP(B491,Okt!B:AZ,12,FALSE),"hh:mm"), "-", TEXT(VLOOKUP(B491,Okt!B:AZ,13,FALSE),"[hh]:mm")," Uhr "),"")), IF(VLOOKUP(B491,Okt!B:AZ,6,FALSE)="","",VLOOKUP(VLOOKUP(B491,Okt!B:AZ,6,FALSE),Legende_Code,2,FALSE)))</f>
        <v/>
      </c>
      <c r="E491" s="16" t="str">
        <f>IF(AND(VLOOKUP(B491,Okt!B:AZ,6,FALSE)="", WEEKDAY(B491,2)=6,VLOOKUP(B491,Okt!B:AZ,48,FALSE)&gt;0),VLOOKUP(B491,Okt!B:AZ,48,FALSE)*24,"")</f>
        <v/>
      </c>
      <c r="F491" s="16" t="str">
        <f>IF(AND(VLOOKUP(B491,Okt!B:AZ,6,FALSE)="", WEEKDAY(B491,2)=7,VLOOKUP(B491,Okt!B:AZ,49,FALSE)&gt;0),VLOOKUP(B491,Okt!B:AZ,49,FALSE)*24,"")</f>
        <v/>
      </c>
      <c r="G491" s="16" t="str">
        <f>IF(AND(VLOOKUP(B491,Okt!B:AZ,6,FALSE)="",VLOOKUP(B491,Okt!B:AZ,46,FALSE)&gt;0),VLOOKUP(B491,Okt!B:AZ,46,FALSE)*24,"")</f>
        <v/>
      </c>
      <c r="H491" s="36" t="str">
        <f>IF(AND(VLOOKUP(B491,Okt!B:AZ,6,FALSE)="",VLOOKUP(B491,Okt!B:AZ,50,FALSE)&gt;0),VLOOKUP(B491,Okt!B:AZ,50,FALSE)*24,"")</f>
        <v/>
      </c>
      <c r="I491" s="30" t="str">
        <f>IF(AND(NETWORKDAYS(B491,B491,Feiertage)=1,VLOOKUP(B491,Okt!B:AZ,6,FALSE)="U"),"Urlaub","")</f>
        <v/>
      </c>
      <c r="J491" s="34" t="str">
        <f ca="1">IF(AND(VLOOKUP(B491,Okt!B:AZ,6,FALSE)="",VLOOKUP(B491,Okt!B:AZ,22,FALSE)&lt;0),"Absetzen von","")</f>
        <v/>
      </c>
      <c r="K491" s="263"/>
      <c r="M491" s="316" t="str">
        <f ca="1">IF(VLOOKUP(B491,Okt!B:AZ,22,FALSE)&lt;&gt;0,VLOOKUP(B491,Okt!B:AZ,22,FALSE),"")</f>
        <v/>
      </c>
      <c r="N491" s="327"/>
    </row>
    <row r="492" spans="2:14" x14ac:dyDescent="0.25">
      <c r="B492" s="245">
        <f>Okt!F18</f>
        <v>42287</v>
      </c>
      <c r="C492" s="35">
        <f t="shared" si="6"/>
        <v>42287</v>
      </c>
      <c r="D492" s="17" t="str">
        <f>IF(AND(VLOOKUP(B492,Okt!B:AZ,8,FALSE)&gt;0,VLOOKUP(B492,Okt!B:AZ,6,FALSE)=""), CONCATENATE(TEXT(VLOOKUP(B492,Okt!B:AZ,7,FALSE),"hh:mm"), "-", TEXT(VLOOKUP(B492,Okt!B:AZ,8,FALSE),"[hh]:mm")," Uhr ", IF(VLOOKUP(B492,Okt!B:AZ,12,FALSE)&gt;0, CONCATENATE("und ",TEXT(VLOOKUP(B492,Okt!B:AZ,12,FALSE),"hh:mm"), "-", TEXT(VLOOKUP(B492,Okt!B:AZ,13,FALSE),"[hh]:mm")," Uhr "),"")), IF(VLOOKUP(B492,Okt!B:AZ,6,FALSE)="","",VLOOKUP(VLOOKUP(B492,Okt!B:AZ,6,FALSE),Legende_Code,2,FALSE)))</f>
        <v/>
      </c>
      <c r="E492" s="16" t="str">
        <f>IF(AND(VLOOKUP(B492,Okt!B:AZ,6,FALSE)="", WEEKDAY(B492,2)=6,VLOOKUP(B492,Okt!B:AZ,48,FALSE)&gt;0),VLOOKUP(B492,Okt!B:AZ,48,FALSE)*24,"")</f>
        <v/>
      </c>
      <c r="F492" s="16" t="str">
        <f>IF(AND(VLOOKUP(B492,Okt!B:AZ,6,FALSE)="", WEEKDAY(B492,2)=7,VLOOKUP(B492,Okt!B:AZ,49,FALSE)&gt;0),VLOOKUP(B492,Okt!B:AZ,49,FALSE)*24,"")</f>
        <v/>
      </c>
      <c r="G492" s="16" t="str">
        <f>IF(AND(VLOOKUP(B492,Okt!B:AZ,6,FALSE)="",VLOOKUP(B492,Okt!B:AZ,46,FALSE)&gt;0),VLOOKUP(B492,Okt!B:AZ,46,FALSE)*24,"")</f>
        <v/>
      </c>
      <c r="H492" s="36" t="str">
        <f>IF(AND(VLOOKUP(B492,Okt!B:AZ,6,FALSE)="",VLOOKUP(B492,Okt!B:AZ,50,FALSE)&gt;0),VLOOKUP(B492,Okt!B:AZ,50,FALSE)*24,"")</f>
        <v/>
      </c>
      <c r="I492" s="30" t="str">
        <f>IF(AND(NETWORKDAYS(B492,B492,Feiertage)=1,VLOOKUP(B492,Okt!B:AZ,6,FALSE)="U"),"Urlaub","")</f>
        <v/>
      </c>
      <c r="J492" s="34" t="str">
        <f ca="1">IF(AND(VLOOKUP(B492,Okt!B:AZ,6,FALSE)="",VLOOKUP(B492,Okt!B:AZ,22,FALSE)&lt;0),"Absetzen von","")</f>
        <v/>
      </c>
      <c r="K492" s="263"/>
      <c r="M492" s="316" t="str">
        <f ca="1">IF(VLOOKUP(B492,Okt!B:AZ,22,FALSE)&lt;&gt;0,VLOOKUP(B492,Okt!B:AZ,22,FALSE),"")</f>
        <v/>
      </c>
      <c r="N492" s="327"/>
    </row>
    <row r="493" spans="2:14" x14ac:dyDescent="0.25">
      <c r="B493" s="245">
        <f>Okt!F19</f>
        <v>42288</v>
      </c>
      <c r="C493" s="35">
        <f t="shared" si="6"/>
        <v>42288</v>
      </c>
      <c r="D493" s="17" t="str">
        <f>IF(AND(VLOOKUP(B493,Okt!B:AZ,8,FALSE)&gt;0,VLOOKUP(B493,Okt!B:AZ,6,FALSE)=""), CONCATENATE(TEXT(VLOOKUP(B493,Okt!B:AZ,7,FALSE),"hh:mm"), "-", TEXT(VLOOKUP(B493,Okt!B:AZ,8,FALSE),"[hh]:mm")," Uhr ", IF(VLOOKUP(B493,Okt!B:AZ,12,FALSE)&gt;0, CONCATENATE("und ",TEXT(VLOOKUP(B493,Okt!B:AZ,12,FALSE),"hh:mm"), "-", TEXT(VLOOKUP(B493,Okt!B:AZ,13,FALSE),"[hh]:mm")," Uhr "),"")), IF(VLOOKUP(B493,Okt!B:AZ,6,FALSE)="","",VLOOKUP(VLOOKUP(B493,Okt!B:AZ,6,FALSE),Legende_Code,2,FALSE)))</f>
        <v/>
      </c>
      <c r="E493" s="16" t="str">
        <f>IF(AND(VLOOKUP(B493,Okt!B:AZ,6,FALSE)="", WEEKDAY(B493,2)=6,VLOOKUP(B493,Okt!B:AZ,48,FALSE)&gt;0),VLOOKUP(B493,Okt!B:AZ,48,FALSE)*24,"")</f>
        <v/>
      </c>
      <c r="F493" s="16" t="str">
        <f>IF(AND(VLOOKUP(B493,Okt!B:AZ,6,FALSE)="", WEEKDAY(B493,2)=7,VLOOKUP(B493,Okt!B:AZ,49,FALSE)&gt;0),VLOOKUP(B493,Okt!B:AZ,49,FALSE)*24,"")</f>
        <v/>
      </c>
      <c r="G493" s="16" t="str">
        <f>IF(AND(VLOOKUP(B493,Okt!B:AZ,6,FALSE)="",VLOOKUP(B493,Okt!B:AZ,46,FALSE)&gt;0),VLOOKUP(B493,Okt!B:AZ,46,FALSE)*24,"")</f>
        <v/>
      </c>
      <c r="H493" s="36" t="str">
        <f>IF(AND(VLOOKUP(B493,Okt!B:AZ,6,FALSE)="",VLOOKUP(B493,Okt!B:AZ,50,FALSE)&gt;0),VLOOKUP(B493,Okt!B:AZ,50,FALSE)*24,"")</f>
        <v/>
      </c>
      <c r="I493" s="30" t="str">
        <f>IF(AND(NETWORKDAYS(B493,B493,Feiertage)=1,VLOOKUP(B493,Okt!B:AZ,6,FALSE)="U"),"Urlaub","")</f>
        <v/>
      </c>
      <c r="J493" s="34" t="str">
        <f ca="1">IF(AND(VLOOKUP(B493,Okt!B:AZ,6,FALSE)="",VLOOKUP(B493,Okt!B:AZ,22,FALSE)&lt;0),"Absetzen von","")</f>
        <v/>
      </c>
      <c r="K493" s="263"/>
      <c r="M493" s="316" t="str">
        <f ca="1">IF(VLOOKUP(B493,Okt!B:AZ,22,FALSE)&lt;&gt;0,VLOOKUP(B493,Okt!B:AZ,22,FALSE),"")</f>
        <v/>
      </c>
      <c r="N493" s="327"/>
    </row>
    <row r="494" spans="2:14" x14ac:dyDescent="0.25">
      <c r="B494" s="245">
        <f>Okt!F20</f>
        <v>42289</v>
      </c>
      <c r="C494" s="35">
        <f t="shared" si="6"/>
        <v>42289</v>
      </c>
      <c r="D494" s="17" t="str">
        <f>IF(AND(VLOOKUP(B494,Okt!B:AZ,8,FALSE)&gt;0,VLOOKUP(B494,Okt!B:AZ,6,FALSE)=""), CONCATENATE(TEXT(VLOOKUP(B494,Okt!B:AZ,7,FALSE),"hh:mm"), "-", TEXT(VLOOKUP(B494,Okt!B:AZ,8,FALSE),"[hh]:mm")," Uhr ", IF(VLOOKUP(B494,Okt!B:AZ,12,FALSE)&gt;0, CONCATENATE("und ",TEXT(VLOOKUP(B494,Okt!B:AZ,12,FALSE),"hh:mm"), "-", TEXT(VLOOKUP(B494,Okt!B:AZ,13,FALSE),"[hh]:mm")," Uhr "),"")), IF(VLOOKUP(B494,Okt!B:AZ,6,FALSE)="","",VLOOKUP(VLOOKUP(B494,Okt!B:AZ,6,FALSE),Legende_Code,2,FALSE)))</f>
        <v/>
      </c>
      <c r="E494" s="16" t="str">
        <f>IF(AND(VLOOKUP(B494,Okt!B:AZ,6,FALSE)="", WEEKDAY(B494,2)=6,VLOOKUP(B494,Okt!B:AZ,48,FALSE)&gt;0),VLOOKUP(B494,Okt!B:AZ,48,FALSE)*24,"")</f>
        <v/>
      </c>
      <c r="F494" s="16" t="str">
        <f>IF(AND(VLOOKUP(B494,Okt!B:AZ,6,FALSE)="", WEEKDAY(B494,2)=7,VLOOKUP(B494,Okt!B:AZ,49,FALSE)&gt;0),VLOOKUP(B494,Okt!B:AZ,49,FALSE)*24,"")</f>
        <v/>
      </c>
      <c r="G494" s="16" t="str">
        <f>IF(AND(VLOOKUP(B494,Okt!B:AZ,6,FALSE)="",VLOOKUP(B494,Okt!B:AZ,46,FALSE)&gt;0),VLOOKUP(B494,Okt!B:AZ,46,FALSE)*24,"")</f>
        <v/>
      </c>
      <c r="H494" s="36" t="str">
        <f>IF(AND(VLOOKUP(B494,Okt!B:AZ,6,FALSE)="",VLOOKUP(B494,Okt!B:AZ,50,FALSE)&gt;0),VLOOKUP(B494,Okt!B:AZ,50,FALSE)*24,"")</f>
        <v/>
      </c>
      <c r="I494" s="30" t="str">
        <f>IF(AND(NETWORKDAYS(B494,B494,Feiertage)=1,VLOOKUP(B494,Okt!B:AZ,6,FALSE)="U"),"Urlaub","")</f>
        <v/>
      </c>
      <c r="J494" s="34" t="str">
        <f ca="1">IF(AND(VLOOKUP(B494,Okt!B:AZ,6,FALSE)="",VLOOKUP(B494,Okt!B:AZ,22,FALSE)&lt;0),"Absetzen von","")</f>
        <v/>
      </c>
      <c r="K494" s="263"/>
      <c r="M494" s="316" t="str">
        <f ca="1">IF(VLOOKUP(B494,Okt!B:AZ,22,FALSE)&lt;&gt;0,VLOOKUP(B494,Okt!B:AZ,22,FALSE),"")</f>
        <v/>
      </c>
      <c r="N494" s="327"/>
    </row>
    <row r="495" spans="2:14" x14ac:dyDescent="0.25">
      <c r="B495" s="245">
        <f>Okt!F21</f>
        <v>42290</v>
      </c>
      <c r="C495" s="35">
        <f t="shared" si="6"/>
        <v>42290</v>
      </c>
      <c r="D495" s="17" t="str">
        <f>IF(AND(VLOOKUP(B495,Okt!B:AZ,8,FALSE)&gt;0,VLOOKUP(B495,Okt!B:AZ,6,FALSE)=""), CONCATENATE(TEXT(VLOOKUP(B495,Okt!B:AZ,7,FALSE),"hh:mm"), "-", TEXT(VLOOKUP(B495,Okt!B:AZ,8,FALSE),"[hh]:mm")," Uhr ", IF(VLOOKUP(B495,Okt!B:AZ,12,FALSE)&gt;0, CONCATENATE("und ",TEXT(VLOOKUP(B495,Okt!B:AZ,12,FALSE),"hh:mm"), "-", TEXT(VLOOKUP(B495,Okt!B:AZ,13,FALSE),"[hh]:mm")," Uhr "),"")), IF(VLOOKUP(B495,Okt!B:AZ,6,FALSE)="","",VLOOKUP(VLOOKUP(B495,Okt!B:AZ,6,FALSE),Legende_Code,2,FALSE)))</f>
        <v/>
      </c>
      <c r="E495" s="16" t="str">
        <f>IF(AND(VLOOKUP(B495,Okt!B:AZ,6,FALSE)="", WEEKDAY(B495,2)=6,VLOOKUP(B495,Okt!B:AZ,48,FALSE)&gt;0),VLOOKUP(B495,Okt!B:AZ,48,FALSE)*24,"")</f>
        <v/>
      </c>
      <c r="F495" s="16" t="str">
        <f>IF(AND(VLOOKUP(B495,Okt!B:AZ,6,FALSE)="", WEEKDAY(B495,2)=7,VLOOKUP(B495,Okt!B:AZ,49,FALSE)&gt;0),VLOOKUP(B495,Okt!B:AZ,49,FALSE)*24,"")</f>
        <v/>
      </c>
      <c r="G495" s="16" t="str">
        <f>IF(AND(VLOOKUP(B495,Okt!B:AZ,6,FALSE)="",VLOOKUP(B495,Okt!B:AZ,46,FALSE)&gt;0),VLOOKUP(B495,Okt!B:AZ,46,FALSE)*24,"")</f>
        <v/>
      </c>
      <c r="H495" s="36" t="str">
        <f>IF(AND(VLOOKUP(B495,Okt!B:AZ,6,FALSE)="",VLOOKUP(B495,Okt!B:AZ,50,FALSE)&gt;0),VLOOKUP(B495,Okt!B:AZ,50,FALSE)*24,"")</f>
        <v/>
      </c>
      <c r="I495" s="30" t="str">
        <f>IF(AND(NETWORKDAYS(B495,B495,Feiertage)=1,VLOOKUP(B495,Okt!B:AZ,6,FALSE)="U"),"Urlaub","")</f>
        <v/>
      </c>
      <c r="J495" s="34" t="str">
        <f ca="1">IF(AND(VLOOKUP(B495,Okt!B:AZ,6,FALSE)="",VLOOKUP(B495,Okt!B:AZ,22,FALSE)&lt;0),"Absetzen von","")</f>
        <v/>
      </c>
      <c r="K495" s="263"/>
      <c r="M495" s="316" t="str">
        <f ca="1">IF(VLOOKUP(B495,Okt!B:AZ,22,FALSE)&lt;&gt;0,VLOOKUP(B495,Okt!B:AZ,22,FALSE),"")</f>
        <v/>
      </c>
      <c r="N495" s="327"/>
    </row>
    <row r="496" spans="2:14" x14ac:dyDescent="0.25">
      <c r="B496" s="245">
        <f>Okt!F22</f>
        <v>42291</v>
      </c>
      <c r="C496" s="35">
        <f t="shared" si="6"/>
        <v>42291</v>
      </c>
      <c r="D496" s="17" t="str">
        <f>IF(AND(VLOOKUP(B496,Okt!B:AZ,8,FALSE)&gt;0,VLOOKUP(B496,Okt!B:AZ,6,FALSE)=""), CONCATENATE(TEXT(VLOOKUP(B496,Okt!B:AZ,7,FALSE),"hh:mm"), "-", TEXT(VLOOKUP(B496,Okt!B:AZ,8,FALSE),"[hh]:mm")," Uhr ", IF(VLOOKUP(B496,Okt!B:AZ,12,FALSE)&gt;0, CONCATENATE("und ",TEXT(VLOOKUP(B496,Okt!B:AZ,12,FALSE),"hh:mm"), "-", TEXT(VLOOKUP(B496,Okt!B:AZ,13,FALSE),"[hh]:mm")," Uhr "),"")), IF(VLOOKUP(B496,Okt!B:AZ,6,FALSE)="","",VLOOKUP(VLOOKUP(B496,Okt!B:AZ,6,FALSE),Legende_Code,2,FALSE)))</f>
        <v/>
      </c>
      <c r="E496" s="16" t="str">
        <f>IF(AND(VLOOKUP(B496,Okt!B:AZ,6,FALSE)="", WEEKDAY(B496,2)=6,VLOOKUP(B496,Okt!B:AZ,48,FALSE)&gt;0),VLOOKUP(B496,Okt!B:AZ,48,FALSE)*24,"")</f>
        <v/>
      </c>
      <c r="F496" s="16" t="str">
        <f>IF(AND(VLOOKUP(B496,Okt!B:AZ,6,FALSE)="", WEEKDAY(B496,2)=7,VLOOKUP(B496,Okt!B:AZ,49,FALSE)&gt;0),VLOOKUP(B496,Okt!B:AZ,49,FALSE)*24,"")</f>
        <v/>
      </c>
      <c r="G496" s="16" t="str">
        <f>IF(AND(VLOOKUP(B496,Okt!B:AZ,6,FALSE)="",VLOOKUP(B496,Okt!B:AZ,46,FALSE)&gt;0),VLOOKUP(B496,Okt!B:AZ,46,FALSE)*24,"")</f>
        <v/>
      </c>
      <c r="H496" s="36" t="str">
        <f>IF(AND(VLOOKUP(B496,Okt!B:AZ,6,FALSE)="",VLOOKUP(B496,Okt!B:AZ,50,FALSE)&gt;0),VLOOKUP(B496,Okt!B:AZ,50,FALSE)*24,"")</f>
        <v/>
      </c>
      <c r="I496" s="30" t="str">
        <f>IF(AND(NETWORKDAYS(B496,B496,Feiertage)=1,VLOOKUP(B496,Okt!B:AZ,6,FALSE)="U"),"Urlaub","")</f>
        <v/>
      </c>
      <c r="J496" s="34" t="str">
        <f ca="1">IF(AND(VLOOKUP(B496,Okt!B:AZ,6,FALSE)="",VLOOKUP(B496,Okt!B:AZ,22,FALSE)&lt;0),"Absetzen von","")</f>
        <v/>
      </c>
      <c r="K496" s="263"/>
      <c r="M496" s="316" t="str">
        <f ca="1">IF(VLOOKUP(B496,Okt!B:AZ,22,FALSE)&lt;&gt;0,VLOOKUP(B496,Okt!B:AZ,22,FALSE),"")</f>
        <v/>
      </c>
      <c r="N496" s="327"/>
    </row>
    <row r="497" spans="2:14" x14ac:dyDescent="0.25">
      <c r="B497" s="245">
        <f>Okt!F23</f>
        <v>42292</v>
      </c>
      <c r="C497" s="35">
        <f t="shared" si="6"/>
        <v>42292</v>
      </c>
      <c r="D497" s="17" t="str">
        <f>IF(AND(VLOOKUP(B497,Okt!B:AZ,8,FALSE)&gt;0,VLOOKUP(B497,Okt!B:AZ,6,FALSE)=""), CONCATENATE(TEXT(VLOOKUP(B497,Okt!B:AZ,7,FALSE),"hh:mm"), "-", TEXT(VLOOKUP(B497,Okt!B:AZ,8,FALSE),"[hh]:mm")," Uhr ", IF(VLOOKUP(B497,Okt!B:AZ,12,FALSE)&gt;0, CONCATENATE("und ",TEXT(VLOOKUP(B497,Okt!B:AZ,12,FALSE),"hh:mm"), "-", TEXT(VLOOKUP(B497,Okt!B:AZ,13,FALSE),"[hh]:mm")," Uhr "),"")), IF(VLOOKUP(B497,Okt!B:AZ,6,FALSE)="","",VLOOKUP(VLOOKUP(B497,Okt!B:AZ,6,FALSE),Legende_Code,2,FALSE)))</f>
        <v/>
      </c>
      <c r="E497" s="16" t="str">
        <f>IF(AND(VLOOKUP(B497,Okt!B:AZ,6,FALSE)="", WEEKDAY(B497,2)=6,VLOOKUP(B497,Okt!B:AZ,48,FALSE)&gt;0),VLOOKUP(B497,Okt!B:AZ,48,FALSE)*24,"")</f>
        <v/>
      </c>
      <c r="F497" s="16" t="str">
        <f>IF(AND(VLOOKUP(B497,Okt!B:AZ,6,FALSE)="", WEEKDAY(B497,2)=7,VLOOKUP(B497,Okt!B:AZ,49,FALSE)&gt;0),VLOOKUP(B497,Okt!B:AZ,49,FALSE)*24,"")</f>
        <v/>
      </c>
      <c r="G497" s="16" t="str">
        <f>IF(AND(VLOOKUP(B497,Okt!B:AZ,6,FALSE)="",VLOOKUP(B497,Okt!B:AZ,46,FALSE)&gt;0),VLOOKUP(B497,Okt!B:AZ,46,FALSE)*24,"")</f>
        <v/>
      </c>
      <c r="H497" s="36" t="str">
        <f>IF(AND(VLOOKUP(B497,Okt!B:AZ,6,FALSE)="",VLOOKUP(B497,Okt!B:AZ,50,FALSE)&gt;0),VLOOKUP(B497,Okt!B:AZ,50,FALSE)*24,"")</f>
        <v/>
      </c>
      <c r="I497" s="30" t="str">
        <f>IF(AND(NETWORKDAYS(B497,B497,Feiertage)=1,VLOOKUP(B497,Okt!B:AZ,6,FALSE)="U"),"Urlaub","")</f>
        <v/>
      </c>
      <c r="J497" s="34" t="str">
        <f ca="1">IF(AND(VLOOKUP(B497,Okt!B:AZ,6,FALSE)="",VLOOKUP(B497,Okt!B:AZ,22,FALSE)&lt;0),"Absetzen von","")</f>
        <v/>
      </c>
      <c r="K497" s="263"/>
      <c r="M497" s="316" t="str">
        <f ca="1">IF(VLOOKUP(B497,Okt!B:AZ,22,FALSE)&lt;&gt;0,VLOOKUP(B497,Okt!B:AZ,22,FALSE),"")</f>
        <v/>
      </c>
      <c r="N497" s="327"/>
    </row>
    <row r="498" spans="2:14" x14ac:dyDescent="0.25">
      <c r="B498" s="245">
        <f>Okt!F24</f>
        <v>42293</v>
      </c>
      <c r="C498" s="35">
        <f t="shared" si="6"/>
        <v>42293</v>
      </c>
      <c r="D498" s="17" t="str">
        <f>IF(AND(VLOOKUP(B498,Okt!B:AZ,8,FALSE)&gt;0,VLOOKUP(B498,Okt!B:AZ,6,FALSE)=""), CONCATENATE(TEXT(VLOOKUP(B498,Okt!B:AZ,7,FALSE),"hh:mm"), "-", TEXT(VLOOKUP(B498,Okt!B:AZ,8,FALSE),"[hh]:mm")," Uhr ", IF(VLOOKUP(B498,Okt!B:AZ,12,FALSE)&gt;0, CONCATENATE("und ",TEXT(VLOOKUP(B498,Okt!B:AZ,12,FALSE),"hh:mm"), "-", TEXT(VLOOKUP(B498,Okt!B:AZ,13,FALSE),"[hh]:mm")," Uhr "),"")), IF(VLOOKUP(B498,Okt!B:AZ,6,FALSE)="","",VLOOKUP(VLOOKUP(B498,Okt!B:AZ,6,FALSE),Legende_Code,2,FALSE)))</f>
        <v/>
      </c>
      <c r="E498" s="16" t="str">
        <f>IF(AND(VLOOKUP(B498,Okt!B:AZ,6,FALSE)="", WEEKDAY(B498,2)=6,VLOOKUP(B498,Okt!B:AZ,48,FALSE)&gt;0),VLOOKUP(B498,Okt!B:AZ,48,FALSE)*24,"")</f>
        <v/>
      </c>
      <c r="F498" s="16" t="str">
        <f>IF(AND(VLOOKUP(B498,Okt!B:AZ,6,FALSE)="", WEEKDAY(B498,2)=7,VLOOKUP(B498,Okt!B:AZ,49,FALSE)&gt;0),VLOOKUP(B498,Okt!B:AZ,49,FALSE)*24,"")</f>
        <v/>
      </c>
      <c r="G498" s="16" t="str">
        <f>IF(AND(VLOOKUP(B498,Okt!B:AZ,6,FALSE)="",VLOOKUP(B498,Okt!B:AZ,46,FALSE)&gt;0),VLOOKUP(B498,Okt!B:AZ,46,FALSE)*24,"")</f>
        <v/>
      </c>
      <c r="H498" s="36" t="str">
        <f>IF(AND(VLOOKUP(B498,Okt!B:AZ,6,FALSE)="",VLOOKUP(B498,Okt!B:AZ,50,FALSE)&gt;0),VLOOKUP(B498,Okt!B:AZ,50,FALSE)*24,"")</f>
        <v/>
      </c>
      <c r="I498" s="30" t="str">
        <f>IF(AND(NETWORKDAYS(B498,B498,Feiertage)=1,VLOOKUP(B498,Okt!B:AZ,6,FALSE)="U"),"Urlaub","")</f>
        <v/>
      </c>
      <c r="J498" s="34" t="str">
        <f ca="1">IF(AND(VLOOKUP(B498,Okt!B:AZ,6,FALSE)="",VLOOKUP(B498,Okt!B:AZ,22,FALSE)&lt;0),"Absetzen von","")</f>
        <v/>
      </c>
      <c r="K498" s="263"/>
      <c r="M498" s="316" t="str">
        <f ca="1">IF(VLOOKUP(B498,Okt!B:AZ,22,FALSE)&lt;&gt;0,VLOOKUP(B498,Okt!B:AZ,22,FALSE),"")</f>
        <v/>
      </c>
      <c r="N498" s="327"/>
    </row>
    <row r="499" spans="2:14" x14ac:dyDescent="0.25">
      <c r="B499" s="245">
        <f>Okt!F25</f>
        <v>42294</v>
      </c>
      <c r="C499" s="35">
        <f t="shared" si="6"/>
        <v>42294</v>
      </c>
      <c r="D499" s="17" t="str">
        <f>IF(AND(VLOOKUP(B499,Okt!B:AZ,8,FALSE)&gt;0,VLOOKUP(B499,Okt!B:AZ,6,FALSE)=""), CONCATENATE(TEXT(VLOOKUP(B499,Okt!B:AZ,7,FALSE),"hh:mm"), "-", TEXT(VLOOKUP(B499,Okt!B:AZ,8,FALSE),"[hh]:mm")," Uhr ", IF(VLOOKUP(B499,Okt!B:AZ,12,FALSE)&gt;0, CONCATENATE("und ",TEXT(VLOOKUP(B499,Okt!B:AZ,12,FALSE),"hh:mm"), "-", TEXT(VLOOKUP(B499,Okt!B:AZ,13,FALSE),"[hh]:mm")," Uhr "),"")), IF(VLOOKUP(B499,Okt!B:AZ,6,FALSE)="","",VLOOKUP(VLOOKUP(B499,Okt!B:AZ,6,FALSE),Legende_Code,2,FALSE)))</f>
        <v/>
      </c>
      <c r="E499" s="16" t="str">
        <f>IF(AND(VLOOKUP(B499,Okt!B:AZ,6,FALSE)="", WEEKDAY(B499,2)=6,VLOOKUP(B499,Okt!B:AZ,48,FALSE)&gt;0),VLOOKUP(B499,Okt!B:AZ,48,FALSE)*24,"")</f>
        <v/>
      </c>
      <c r="F499" s="16" t="str">
        <f>IF(AND(VLOOKUP(B499,Okt!B:AZ,6,FALSE)="", WEEKDAY(B499,2)=7,VLOOKUP(B499,Okt!B:AZ,49,FALSE)&gt;0),VLOOKUP(B499,Okt!B:AZ,49,FALSE)*24,"")</f>
        <v/>
      </c>
      <c r="G499" s="16" t="str">
        <f>IF(AND(VLOOKUP(B499,Okt!B:AZ,6,FALSE)="",VLOOKUP(B499,Okt!B:AZ,46,FALSE)&gt;0),VLOOKUP(B499,Okt!B:AZ,46,FALSE)*24,"")</f>
        <v/>
      </c>
      <c r="H499" s="36" t="str">
        <f>IF(AND(VLOOKUP(B499,Okt!B:AZ,6,FALSE)="",VLOOKUP(B499,Okt!B:AZ,50,FALSE)&gt;0),VLOOKUP(B499,Okt!B:AZ,50,FALSE)*24,"")</f>
        <v/>
      </c>
      <c r="I499" s="30" t="str">
        <f>IF(AND(NETWORKDAYS(B499,B499,Feiertage)=1,VLOOKUP(B499,Okt!B:AZ,6,FALSE)="U"),"Urlaub","")</f>
        <v/>
      </c>
      <c r="J499" s="34" t="str">
        <f ca="1">IF(AND(VLOOKUP(B499,Okt!B:AZ,6,FALSE)="",VLOOKUP(B499,Okt!B:AZ,22,FALSE)&lt;0),"Absetzen von","")</f>
        <v/>
      </c>
      <c r="K499" s="263"/>
      <c r="M499" s="316" t="str">
        <f ca="1">IF(VLOOKUP(B499,Okt!B:AZ,22,FALSE)&lt;&gt;0,VLOOKUP(B499,Okt!B:AZ,22,FALSE),"")</f>
        <v/>
      </c>
      <c r="N499" s="327"/>
    </row>
    <row r="500" spans="2:14" x14ac:dyDescent="0.25">
      <c r="B500" s="245">
        <f>Okt!F26</f>
        <v>42295</v>
      </c>
      <c r="C500" s="35">
        <f t="shared" si="6"/>
        <v>42295</v>
      </c>
      <c r="D500" s="17" t="str">
        <f>IF(AND(VLOOKUP(B500,Okt!B:AZ,8,FALSE)&gt;0,VLOOKUP(B500,Okt!B:AZ,6,FALSE)=""), CONCATENATE(TEXT(VLOOKUP(B500,Okt!B:AZ,7,FALSE),"hh:mm"), "-", TEXT(VLOOKUP(B500,Okt!B:AZ,8,FALSE),"[hh]:mm")," Uhr ", IF(VLOOKUP(B500,Okt!B:AZ,12,FALSE)&gt;0, CONCATENATE("und ",TEXT(VLOOKUP(B500,Okt!B:AZ,12,FALSE),"hh:mm"), "-", TEXT(VLOOKUP(B500,Okt!B:AZ,13,FALSE),"[hh]:mm")," Uhr "),"")), IF(VLOOKUP(B500,Okt!B:AZ,6,FALSE)="","",VLOOKUP(VLOOKUP(B500,Okt!B:AZ,6,FALSE),Legende_Code,2,FALSE)))</f>
        <v/>
      </c>
      <c r="E500" s="16" t="str">
        <f>IF(AND(VLOOKUP(B500,Okt!B:AZ,6,FALSE)="", WEEKDAY(B500,2)=6,VLOOKUP(B500,Okt!B:AZ,48,FALSE)&gt;0),VLOOKUP(B500,Okt!B:AZ,48,FALSE)*24,"")</f>
        <v/>
      </c>
      <c r="F500" s="16" t="str">
        <f>IF(AND(VLOOKUP(B500,Okt!B:AZ,6,FALSE)="", WEEKDAY(B500,2)=7,VLOOKUP(B500,Okt!B:AZ,49,FALSE)&gt;0),VLOOKUP(B500,Okt!B:AZ,49,FALSE)*24,"")</f>
        <v/>
      </c>
      <c r="G500" s="16" t="str">
        <f>IF(AND(VLOOKUP(B500,Okt!B:AZ,6,FALSE)="",VLOOKUP(B500,Okt!B:AZ,46,FALSE)&gt;0),VLOOKUP(B500,Okt!B:AZ,46,FALSE)*24,"")</f>
        <v/>
      </c>
      <c r="H500" s="36" t="str">
        <f>IF(AND(VLOOKUP(B500,Okt!B:AZ,6,FALSE)="",VLOOKUP(B500,Okt!B:AZ,50,FALSE)&gt;0),VLOOKUP(B500,Okt!B:AZ,50,FALSE)*24,"")</f>
        <v/>
      </c>
      <c r="I500" s="30" t="str">
        <f>IF(AND(NETWORKDAYS(B500,B500,Feiertage)=1,VLOOKUP(B500,Okt!B:AZ,6,FALSE)="U"),"Urlaub","")</f>
        <v/>
      </c>
      <c r="J500" s="34" t="str">
        <f ca="1">IF(AND(VLOOKUP(B500,Okt!B:AZ,6,FALSE)="",VLOOKUP(B500,Okt!B:AZ,22,FALSE)&lt;0),"Absetzen von","")</f>
        <v/>
      </c>
      <c r="K500" s="263"/>
      <c r="M500" s="316" t="str">
        <f ca="1">IF(VLOOKUP(B500,Okt!B:AZ,22,FALSE)&lt;&gt;0,VLOOKUP(B500,Okt!B:AZ,22,FALSE),"")</f>
        <v/>
      </c>
      <c r="N500" s="327"/>
    </row>
    <row r="501" spans="2:14" x14ac:dyDescent="0.25">
      <c r="B501" s="245">
        <f>Okt!F27</f>
        <v>42296</v>
      </c>
      <c r="C501" s="35">
        <f t="shared" si="6"/>
        <v>42296</v>
      </c>
      <c r="D501" s="17" t="str">
        <f>IF(AND(VLOOKUP(B501,Okt!B:AZ,8,FALSE)&gt;0,VLOOKUP(B501,Okt!B:AZ,6,FALSE)=""), CONCATENATE(TEXT(VLOOKUP(B501,Okt!B:AZ,7,FALSE),"hh:mm"), "-", TEXT(VLOOKUP(B501,Okt!B:AZ,8,FALSE),"[hh]:mm")," Uhr ", IF(VLOOKUP(B501,Okt!B:AZ,12,FALSE)&gt;0, CONCATENATE("und ",TEXT(VLOOKUP(B501,Okt!B:AZ,12,FALSE),"hh:mm"), "-", TEXT(VLOOKUP(B501,Okt!B:AZ,13,FALSE),"[hh]:mm")," Uhr "),"")), IF(VLOOKUP(B501,Okt!B:AZ,6,FALSE)="","",VLOOKUP(VLOOKUP(B501,Okt!B:AZ,6,FALSE),Legende_Code,2,FALSE)))</f>
        <v/>
      </c>
      <c r="E501" s="16" t="str">
        <f>IF(AND(VLOOKUP(B501,Okt!B:AZ,6,FALSE)="", WEEKDAY(B501,2)=6,VLOOKUP(B501,Okt!B:AZ,48,FALSE)&gt;0),VLOOKUP(B501,Okt!B:AZ,48,FALSE)*24,"")</f>
        <v/>
      </c>
      <c r="F501" s="16" t="str">
        <f>IF(AND(VLOOKUP(B501,Okt!B:AZ,6,FALSE)="", WEEKDAY(B501,2)=7,VLOOKUP(B501,Okt!B:AZ,49,FALSE)&gt;0),VLOOKUP(B501,Okt!B:AZ,49,FALSE)*24,"")</f>
        <v/>
      </c>
      <c r="G501" s="16" t="str">
        <f>IF(AND(VLOOKUP(B501,Okt!B:AZ,6,FALSE)="",VLOOKUP(B501,Okt!B:AZ,46,FALSE)&gt;0),VLOOKUP(B501,Okt!B:AZ,46,FALSE)*24,"")</f>
        <v/>
      </c>
      <c r="H501" s="36" t="str">
        <f>IF(AND(VLOOKUP(B501,Okt!B:AZ,6,FALSE)="",VLOOKUP(B501,Okt!B:AZ,50,FALSE)&gt;0),VLOOKUP(B501,Okt!B:AZ,50,FALSE)*24,"")</f>
        <v/>
      </c>
      <c r="I501" s="30" t="str">
        <f>IF(AND(NETWORKDAYS(B501,B501,Feiertage)=1,VLOOKUP(B501,Okt!B:AZ,6,FALSE)="U"),"Urlaub","")</f>
        <v/>
      </c>
      <c r="J501" s="34" t="str">
        <f ca="1">IF(AND(VLOOKUP(B501,Okt!B:AZ,6,FALSE)="",VLOOKUP(B501,Okt!B:AZ,22,FALSE)&lt;0),"Absetzen von","")</f>
        <v/>
      </c>
      <c r="K501" s="263"/>
      <c r="M501" s="316" t="str">
        <f ca="1">IF(VLOOKUP(B501,Okt!B:AZ,22,FALSE)&lt;&gt;0,VLOOKUP(B501,Okt!B:AZ,22,FALSE),"")</f>
        <v/>
      </c>
      <c r="N501" s="327"/>
    </row>
    <row r="502" spans="2:14" x14ac:dyDescent="0.25">
      <c r="B502" s="245">
        <f>Okt!F28</f>
        <v>42297</v>
      </c>
      <c r="C502" s="35">
        <f t="shared" si="6"/>
        <v>42297</v>
      </c>
      <c r="D502" s="17" t="str">
        <f>IF(AND(VLOOKUP(B502,Okt!B:AZ,8,FALSE)&gt;0,VLOOKUP(B502,Okt!B:AZ,6,FALSE)=""), CONCATENATE(TEXT(VLOOKUP(B502,Okt!B:AZ,7,FALSE),"hh:mm"), "-", TEXT(VLOOKUP(B502,Okt!B:AZ,8,FALSE),"[hh]:mm")," Uhr ", IF(VLOOKUP(B502,Okt!B:AZ,12,FALSE)&gt;0, CONCATENATE("und ",TEXT(VLOOKUP(B502,Okt!B:AZ,12,FALSE),"hh:mm"), "-", TEXT(VLOOKUP(B502,Okt!B:AZ,13,FALSE),"[hh]:mm")," Uhr "),"")), IF(VLOOKUP(B502,Okt!B:AZ,6,FALSE)="","",VLOOKUP(VLOOKUP(B502,Okt!B:AZ,6,FALSE),Legende_Code,2,FALSE)))</f>
        <v/>
      </c>
      <c r="E502" s="16" t="str">
        <f>IF(AND(VLOOKUP(B502,Okt!B:AZ,6,FALSE)="", WEEKDAY(B502,2)=6,VLOOKUP(B502,Okt!B:AZ,48,FALSE)&gt;0),VLOOKUP(B502,Okt!B:AZ,48,FALSE)*24,"")</f>
        <v/>
      </c>
      <c r="F502" s="16" t="str">
        <f>IF(AND(VLOOKUP(B502,Okt!B:AZ,6,FALSE)="", WEEKDAY(B502,2)=7,VLOOKUP(B502,Okt!B:AZ,49,FALSE)&gt;0),VLOOKUP(B502,Okt!B:AZ,49,FALSE)*24,"")</f>
        <v/>
      </c>
      <c r="G502" s="16" t="str">
        <f>IF(AND(VLOOKUP(B502,Okt!B:AZ,6,FALSE)="",VLOOKUP(B502,Okt!B:AZ,46,FALSE)&gt;0),VLOOKUP(B502,Okt!B:AZ,46,FALSE)*24,"")</f>
        <v/>
      </c>
      <c r="H502" s="36" t="str">
        <f>IF(AND(VLOOKUP(B502,Okt!B:AZ,6,FALSE)="",VLOOKUP(B502,Okt!B:AZ,50,FALSE)&gt;0),VLOOKUP(B502,Okt!B:AZ,50,FALSE)*24,"")</f>
        <v/>
      </c>
      <c r="I502" s="30" t="str">
        <f>IF(AND(NETWORKDAYS(B502,B502,Feiertage)=1,VLOOKUP(B502,Okt!B:AZ,6,FALSE)="U"),"Urlaub","")</f>
        <v/>
      </c>
      <c r="J502" s="34" t="str">
        <f ca="1">IF(AND(VLOOKUP(B502,Okt!B:AZ,6,FALSE)="",VLOOKUP(B502,Okt!B:AZ,22,FALSE)&lt;0),"Absetzen von","")</f>
        <v/>
      </c>
      <c r="K502" s="263"/>
      <c r="M502" s="316" t="str">
        <f ca="1">IF(VLOOKUP(B502,Okt!B:AZ,22,FALSE)&lt;&gt;0,VLOOKUP(B502,Okt!B:AZ,22,FALSE),"")</f>
        <v/>
      </c>
      <c r="N502" s="327"/>
    </row>
    <row r="503" spans="2:14" x14ac:dyDescent="0.25">
      <c r="B503" s="245">
        <f>Okt!F29</f>
        <v>42298</v>
      </c>
      <c r="C503" s="35">
        <f t="shared" si="6"/>
        <v>42298</v>
      </c>
      <c r="D503" s="17" t="str">
        <f>IF(AND(VLOOKUP(B503,Okt!B:AZ,8,FALSE)&gt;0,VLOOKUP(B503,Okt!B:AZ,6,FALSE)=""), CONCATENATE(TEXT(VLOOKUP(B503,Okt!B:AZ,7,FALSE),"hh:mm"), "-", TEXT(VLOOKUP(B503,Okt!B:AZ,8,FALSE),"[hh]:mm")," Uhr ", IF(VLOOKUP(B503,Okt!B:AZ,12,FALSE)&gt;0, CONCATENATE("und ",TEXT(VLOOKUP(B503,Okt!B:AZ,12,FALSE),"hh:mm"), "-", TEXT(VLOOKUP(B503,Okt!B:AZ,13,FALSE),"[hh]:mm")," Uhr "),"")), IF(VLOOKUP(B503,Okt!B:AZ,6,FALSE)="","",VLOOKUP(VLOOKUP(B503,Okt!B:AZ,6,FALSE),Legende_Code,2,FALSE)))</f>
        <v/>
      </c>
      <c r="E503" s="16" t="str">
        <f>IF(AND(VLOOKUP(B503,Okt!B:AZ,6,FALSE)="", WEEKDAY(B503,2)=6,VLOOKUP(B503,Okt!B:AZ,48,FALSE)&gt;0),VLOOKUP(B503,Okt!B:AZ,48,FALSE)*24,"")</f>
        <v/>
      </c>
      <c r="F503" s="16" t="str">
        <f>IF(AND(VLOOKUP(B503,Okt!B:AZ,6,FALSE)="", WEEKDAY(B503,2)=7,VLOOKUP(B503,Okt!B:AZ,49,FALSE)&gt;0),VLOOKUP(B503,Okt!B:AZ,49,FALSE)*24,"")</f>
        <v/>
      </c>
      <c r="G503" s="16" t="str">
        <f>IF(AND(VLOOKUP(B503,Okt!B:AZ,6,FALSE)="",VLOOKUP(B503,Okt!B:AZ,46,FALSE)&gt;0),VLOOKUP(B503,Okt!B:AZ,46,FALSE)*24,"")</f>
        <v/>
      </c>
      <c r="H503" s="36" t="str">
        <f>IF(AND(VLOOKUP(B503,Okt!B:AZ,6,FALSE)="",VLOOKUP(B503,Okt!B:AZ,50,FALSE)&gt;0),VLOOKUP(B503,Okt!B:AZ,50,FALSE)*24,"")</f>
        <v/>
      </c>
      <c r="I503" s="30" t="str">
        <f>IF(AND(NETWORKDAYS(B503,B503,Feiertage)=1,VLOOKUP(B503,Okt!B:AZ,6,FALSE)="U"),"Urlaub","")</f>
        <v/>
      </c>
      <c r="J503" s="34" t="str">
        <f ca="1">IF(AND(VLOOKUP(B503,Okt!B:AZ,6,FALSE)="",VLOOKUP(B503,Okt!B:AZ,22,FALSE)&lt;0),"Absetzen von","")</f>
        <v/>
      </c>
      <c r="K503" s="263"/>
      <c r="M503" s="316" t="str">
        <f ca="1">IF(VLOOKUP(B503,Okt!B:AZ,22,FALSE)&lt;&gt;0,VLOOKUP(B503,Okt!B:AZ,22,FALSE),"")</f>
        <v/>
      </c>
      <c r="N503" s="327"/>
    </row>
    <row r="504" spans="2:14" x14ac:dyDescent="0.25">
      <c r="B504" s="245">
        <f>Okt!F30</f>
        <v>42299</v>
      </c>
      <c r="C504" s="35">
        <f t="shared" si="6"/>
        <v>42299</v>
      </c>
      <c r="D504" s="17" t="str">
        <f>IF(AND(VLOOKUP(B504,Okt!B:AZ,8,FALSE)&gt;0,VLOOKUP(B504,Okt!B:AZ,6,FALSE)=""), CONCATENATE(TEXT(VLOOKUP(B504,Okt!B:AZ,7,FALSE),"hh:mm"), "-", TEXT(VLOOKUP(B504,Okt!B:AZ,8,FALSE),"[hh]:mm")," Uhr ", IF(VLOOKUP(B504,Okt!B:AZ,12,FALSE)&gt;0, CONCATENATE("und ",TEXT(VLOOKUP(B504,Okt!B:AZ,12,FALSE),"hh:mm"), "-", TEXT(VLOOKUP(B504,Okt!B:AZ,13,FALSE),"[hh]:mm")," Uhr "),"")), IF(VLOOKUP(B504,Okt!B:AZ,6,FALSE)="","",VLOOKUP(VLOOKUP(B504,Okt!B:AZ,6,FALSE),Legende_Code,2,FALSE)))</f>
        <v/>
      </c>
      <c r="E504" s="16" t="str">
        <f>IF(AND(VLOOKUP(B504,Okt!B:AZ,6,FALSE)="", WEEKDAY(B504,2)=6,VLOOKUP(B504,Okt!B:AZ,48,FALSE)&gt;0),VLOOKUP(B504,Okt!B:AZ,48,FALSE)*24,"")</f>
        <v/>
      </c>
      <c r="F504" s="16" t="str">
        <f>IF(AND(VLOOKUP(B504,Okt!B:AZ,6,FALSE)="", WEEKDAY(B504,2)=7,VLOOKUP(B504,Okt!B:AZ,49,FALSE)&gt;0),VLOOKUP(B504,Okt!B:AZ,49,FALSE)*24,"")</f>
        <v/>
      </c>
      <c r="G504" s="16" t="str">
        <f>IF(AND(VLOOKUP(B504,Okt!B:AZ,6,FALSE)="",VLOOKUP(B504,Okt!B:AZ,46,FALSE)&gt;0),VLOOKUP(B504,Okt!B:AZ,46,FALSE)*24,"")</f>
        <v/>
      </c>
      <c r="H504" s="36" t="str">
        <f>IF(AND(VLOOKUP(B504,Okt!B:AZ,6,FALSE)="",VLOOKUP(B504,Okt!B:AZ,50,FALSE)&gt;0),VLOOKUP(B504,Okt!B:AZ,50,FALSE)*24,"")</f>
        <v/>
      </c>
      <c r="I504" s="30" t="str">
        <f>IF(AND(NETWORKDAYS(B504,B504,Feiertage)=1,VLOOKUP(B504,Okt!B:AZ,6,FALSE)="U"),"Urlaub","")</f>
        <v/>
      </c>
      <c r="J504" s="34" t="str">
        <f ca="1">IF(AND(VLOOKUP(B504,Okt!B:AZ,6,FALSE)="",VLOOKUP(B504,Okt!B:AZ,22,FALSE)&lt;0),"Absetzen von","")</f>
        <v/>
      </c>
      <c r="K504" s="263"/>
      <c r="M504" s="316" t="str">
        <f ca="1">IF(VLOOKUP(B504,Okt!B:AZ,22,FALSE)&lt;&gt;0,VLOOKUP(B504,Okt!B:AZ,22,FALSE),"")</f>
        <v/>
      </c>
      <c r="N504" s="327"/>
    </row>
    <row r="505" spans="2:14" x14ac:dyDescent="0.25">
      <c r="B505" s="245">
        <f>Okt!F31</f>
        <v>42300</v>
      </c>
      <c r="C505" s="35">
        <f t="shared" si="6"/>
        <v>42300</v>
      </c>
      <c r="D505" s="17" t="str">
        <f>IF(AND(VLOOKUP(B505,Okt!B:AZ,8,FALSE)&gt;0,VLOOKUP(B505,Okt!B:AZ,6,FALSE)=""), CONCATENATE(TEXT(VLOOKUP(B505,Okt!B:AZ,7,FALSE),"hh:mm"), "-", TEXT(VLOOKUP(B505,Okt!B:AZ,8,FALSE),"[hh]:mm")," Uhr ", IF(VLOOKUP(B505,Okt!B:AZ,12,FALSE)&gt;0, CONCATENATE("und ",TEXT(VLOOKUP(B505,Okt!B:AZ,12,FALSE),"hh:mm"), "-", TEXT(VLOOKUP(B505,Okt!B:AZ,13,FALSE),"[hh]:mm")," Uhr "),"")), IF(VLOOKUP(B505,Okt!B:AZ,6,FALSE)="","",VLOOKUP(VLOOKUP(B505,Okt!B:AZ,6,FALSE),Legende_Code,2,FALSE)))</f>
        <v/>
      </c>
      <c r="E505" s="16" t="str">
        <f>IF(AND(VLOOKUP(B505,Okt!B:AZ,6,FALSE)="", WEEKDAY(B505,2)=6,VLOOKUP(B505,Okt!B:AZ,48,FALSE)&gt;0),VLOOKUP(B505,Okt!B:AZ,48,FALSE)*24,"")</f>
        <v/>
      </c>
      <c r="F505" s="16" t="str">
        <f>IF(AND(VLOOKUP(B505,Okt!B:AZ,6,FALSE)="", WEEKDAY(B505,2)=7,VLOOKUP(B505,Okt!B:AZ,49,FALSE)&gt;0),VLOOKUP(B505,Okt!B:AZ,49,FALSE)*24,"")</f>
        <v/>
      </c>
      <c r="G505" s="16" t="str">
        <f>IF(AND(VLOOKUP(B505,Okt!B:AZ,6,FALSE)="",VLOOKUP(B505,Okt!B:AZ,46,FALSE)&gt;0),VLOOKUP(B505,Okt!B:AZ,46,FALSE)*24,"")</f>
        <v/>
      </c>
      <c r="H505" s="36" t="str">
        <f>IF(AND(VLOOKUP(B505,Okt!B:AZ,6,FALSE)="",VLOOKUP(B505,Okt!B:AZ,50,FALSE)&gt;0),VLOOKUP(B505,Okt!B:AZ,50,FALSE)*24,"")</f>
        <v/>
      </c>
      <c r="I505" s="30" t="str">
        <f>IF(AND(NETWORKDAYS(B505,B505,Feiertage)=1,VLOOKUP(B505,Okt!B:AZ,6,FALSE)="U"),"Urlaub","")</f>
        <v/>
      </c>
      <c r="J505" s="34" t="str">
        <f ca="1">IF(AND(VLOOKUP(B505,Okt!B:AZ,6,FALSE)="",VLOOKUP(B505,Okt!B:AZ,22,FALSE)&lt;0),"Absetzen von","")</f>
        <v/>
      </c>
      <c r="K505" s="263"/>
      <c r="M505" s="316" t="str">
        <f ca="1">IF(VLOOKUP(B505,Okt!B:AZ,22,FALSE)&lt;&gt;0,VLOOKUP(B505,Okt!B:AZ,22,FALSE),"")</f>
        <v/>
      </c>
      <c r="N505" s="327"/>
    </row>
    <row r="506" spans="2:14" x14ac:dyDescent="0.25">
      <c r="B506" s="245">
        <f>Okt!F32</f>
        <v>42301</v>
      </c>
      <c r="C506" s="35">
        <f t="shared" si="6"/>
        <v>42301</v>
      </c>
      <c r="D506" s="17" t="str">
        <f>IF(AND(VLOOKUP(B506,Okt!B:AZ,8,FALSE)&gt;0,VLOOKUP(B506,Okt!B:AZ,6,FALSE)=""), CONCATENATE(TEXT(VLOOKUP(B506,Okt!B:AZ,7,FALSE),"hh:mm"), "-", TEXT(VLOOKUP(B506,Okt!B:AZ,8,FALSE),"[hh]:mm")," Uhr ", IF(VLOOKUP(B506,Okt!B:AZ,12,FALSE)&gt;0, CONCATENATE("und ",TEXT(VLOOKUP(B506,Okt!B:AZ,12,FALSE),"hh:mm"), "-", TEXT(VLOOKUP(B506,Okt!B:AZ,13,FALSE),"[hh]:mm")," Uhr "),"")), IF(VLOOKUP(B506,Okt!B:AZ,6,FALSE)="","",VLOOKUP(VLOOKUP(B506,Okt!B:AZ,6,FALSE),Legende_Code,2,FALSE)))</f>
        <v/>
      </c>
      <c r="E506" s="16" t="str">
        <f>IF(AND(VLOOKUP(B506,Okt!B:AZ,6,FALSE)="", WEEKDAY(B506,2)=6,VLOOKUP(B506,Okt!B:AZ,48,FALSE)&gt;0),VLOOKUP(B506,Okt!B:AZ,48,FALSE)*24,"")</f>
        <v/>
      </c>
      <c r="F506" s="16" t="str">
        <f>IF(AND(VLOOKUP(B506,Okt!B:AZ,6,FALSE)="", WEEKDAY(B506,2)=7,VLOOKUP(B506,Okt!B:AZ,49,FALSE)&gt;0),VLOOKUP(B506,Okt!B:AZ,49,FALSE)*24,"")</f>
        <v/>
      </c>
      <c r="G506" s="16" t="str">
        <f>IF(AND(VLOOKUP(B506,Okt!B:AZ,6,FALSE)="",VLOOKUP(B506,Okt!B:AZ,46,FALSE)&gt;0),VLOOKUP(B506,Okt!B:AZ,46,FALSE)*24,"")</f>
        <v/>
      </c>
      <c r="H506" s="36" t="str">
        <f>IF(AND(VLOOKUP(B506,Okt!B:AZ,6,FALSE)="",VLOOKUP(B506,Okt!B:AZ,50,FALSE)&gt;0),VLOOKUP(B506,Okt!B:AZ,50,FALSE)*24,"")</f>
        <v/>
      </c>
      <c r="I506" s="30" t="str">
        <f>IF(AND(NETWORKDAYS(B506,B506,Feiertage)=1,VLOOKUP(B506,Okt!B:AZ,6,FALSE)="U"),"Urlaub","")</f>
        <v/>
      </c>
      <c r="J506" s="34" t="str">
        <f ca="1">IF(AND(VLOOKUP(B506,Okt!B:AZ,6,FALSE)="",VLOOKUP(B506,Okt!B:AZ,22,FALSE)&lt;0),"Absetzen von","")</f>
        <v/>
      </c>
      <c r="K506" s="263"/>
      <c r="M506" s="316" t="str">
        <f ca="1">IF(VLOOKUP(B506,Okt!B:AZ,22,FALSE)&lt;&gt;0,VLOOKUP(B506,Okt!B:AZ,22,FALSE),"")</f>
        <v/>
      </c>
      <c r="N506" s="327"/>
    </row>
    <row r="507" spans="2:14" x14ac:dyDescent="0.25">
      <c r="B507" s="245">
        <f>Okt!F33</f>
        <v>42302</v>
      </c>
      <c r="C507" s="35">
        <f t="shared" si="6"/>
        <v>42302</v>
      </c>
      <c r="D507" s="17" t="str">
        <f>IF(AND(VLOOKUP(B507,Okt!B:AZ,8,FALSE)&gt;0,VLOOKUP(B507,Okt!B:AZ,6,FALSE)=""), CONCATENATE(TEXT(VLOOKUP(B507,Okt!B:AZ,7,FALSE),"hh:mm"), "-", TEXT(VLOOKUP(B507,Okt!B:AZ,8,FALSE),"[hh]:mm")," Uhr ", IF(VLOOKUP(B507,Okt!B:AZ,12,FALSE)&gt;0, CONCATENATE("und ",TEXT(VLOOKUP(B507,Okt!B:AZ,12,FALSE),"hh:mm"), "-", TEXT(VLOOKUP(B507,Okt!B:AZ,13,FALSE),"[hh]:mm")," Uhr "),"")), IF(VLOOKUP(B507,Okt!B:AZ,6,FALSE)="","",VLOOKUP(VLOOKUP(B507,Okt!B:AZ,6,FALSE),Legende_Code,2,FALSE)))</f>
        <v/>
      </c>
      <c r="E507" s="16" t="str">
        <f>IF(AND(VLOOKUP(B507,Okt!B:AZ,6,FALSE)="", WEEKDAY(B507,2)=6,VLOOKUP(B507,Okt!B:AZ,48,FALSE)&gt;0),VLOOKUP(B507,Okt!B:AZ,48,FALSE)*24,"")</f>
        <v/>
      </c>
      <c r="F507" s="16" t="str">
        <f>IF(AND(VLOOKUP(B507,Okt!B:AZ,6,FALSE)="", WEEKDAY(B507,2)=7,VLOOKUP(B507,Okt!B:AZ,49,FALSE)&gt;0),VLOOKUP(B507,Okt!B:AZ,49,FALSE)*24,"")</f>
        <v/>
      </c>
      <c r="G507" s="16" t="str">
        <f>IF(AND(VLOOKUP(B507,Okt!B:AZ,6,FALSE)="",VLOOKUP(B507,Okt!B:AZ,46,FALSE)&gt;0),VLOOKUP(B507,Okt!B:AZ,46,FALSE)*24,"")</f>
        <v/>
      </c>
      <c r="H507" s="36" t="str">
        <f>IF(AND(VLOOKUP(B507,Okt!B:AZ,6,FALSE)="",VLOOKUP(B507,Okt!B:AZ,50,FALSE)&gt;0),VLOOKUP(B507,Okt!B:AZ,50,FALSE)*24,"")</f>
        <v/>
      </c>
      <c r="I507" s="30" t="str">
        <f>IF(AND(NETWORKDAYS(B507,B507,Feiertage)=1,VLOOKUP(B507,Okt!B:AZ,6,FALSE)="U"),"Urlaub","")</f>
        <v/>
      </c>
      <c r="J507" s="34" t="str">
        <f ca="1">IF(AND(VLOOKUP(B507,Okt!B:AZ,6,FALSE)="",VLOOKUP(B507,Okt!B:AZ,22,FALSE)&lt;0),"Absetzen von","")</f>
        <v/>
      </c>
      <c r="K507" s="263"/>
      <c r="M507" s="316" t="str">
        <f ca="1">IF(VLOOKUP(B507,Okt!B:AZ,22,FALSE)&lt;&gt;0,VLOOKUP(B507,Okt!B:AZ,22,FALSE),"")</f>
        <v/>
      </c>
      <c r="N507" s="327"/>
    </row>
    <row r="508" spans="2:14" x14ac:dyDescent="0.25">
      <c r="B508" s="245">
        <f>Okt!F34</f>
        <v>42303</v>
      </c>
      <c r="C508" s="35">
        <f t="shared" si="6"/>
        <v>42303</v>
      </c>
      <c r="D508" s="17" t="str">
        <f>IF(AND(VLOOKUP(B508,Okt!B:AZ,8,FALSE)&gt;0,VLOOKUP(B508,Okt!B:AZ,6,FALSE)=""), CONCATENATE(TEXT(VLOOKUP(B508,Okt!B:AZ,7,FALSE),"hh:mm"), "-", TEXT(VLOOKUP(B508,Okt!B:AZ,8,FALSE),"[hh]:mm")," Uhr ", IF(VLOOKUP(B508,Okt!B:AZ,12,FALSE)&gt;0, CONCATENATE("und ",TEXT(VLOOKUP(B508,Okt!B:AZ,12,FALSE),"hh:mm"), "-", TEXT(VLOOKUP(B508,Okt!B:AZ,13,FALSE),"[hh]:mm")," Uhr "),"")), IF(VLOOKUP(B508,Okt!B:AZ,6,FALSE)="","",VLOOKUP(VLOOKUP(B508,Okt!B:AZ,6,FALSE),Legende_Code,2,FALSE)))</f>
        <v/>
      </c>
      <c r="E508" s="16" t="str">
        <f>IF(AND(VLOOKUP(B508,Okt!B:AZ,6,FALSE)="", WEEKDAY(B508,2)=6,VLOOKUP(B508,Okt!B:AZ,48,FALSE)&gt;0),VLOOKUP(B508,Okt!B:AZ,48,FALSE)*24,"")</f>
        <v/>
      </c>
      <c r="F508" s="16" t="str">
        <f>IF(AND(VLOOKUP(B508,Okt!B:AZ,6,FALSE)="", WEEKDAY(B508,2)=7,VLOOKUP(B508,Okt!B:AZ,49,FALSE)&gt;0),VLOOKUP(B508,Okt!B:AZ,49,FALSE)*24,"")</f>
        <v/>
      </c>
      <c r="G508" s="16" t="str">
        <f>IF(AND(VLOOKUP(B508,Okt!B:AZ,6,FALSE)="",VLOOKUP(B508,Okt!B:AZ,46,FALSE)&gt;0),VLOOKUP(B508,Okt!B:AZ,46,FALSE)*24,"")</f>
        <v/>
      </c>
      <c r="H508" s="36" t="str">
        <f>IF(AND(VLOOKUP(B508,Okt!B:AZ,6,FALSE)="",VLOOKUP(B508,Okt!B:AZ,50,FALSE)&gt;0),VLOOKUP(B508,Okt!B:AZ,50,FALSE)*24,"")</f>
        <v/>
      </c>
      <c r="I508" s="30" t="str">
        <f>IF(AND(NETWORKDAYS(B508,B508,Feiertage)=1,VLOOKUP(B508,Okt!B:AZ,6,FALSE)="U"),"Urlaub","")</f>
        <v/>
      </c>
      <c r="J508" s="34" t="str">
        <f ca="1">IF(AND(VLOOKUP(B508,Okt!B:AZ,6,FALSE)="",VLOOKUP(B508,Okt!B:AZ,22,FALSE)&lt;0),"Absetzen von","")</f>
        <v/>
      </c>
      <c r="K508" s="263"/>
      <c r="M508" s="316" t="str">
        <f ca="1">IF(VLOOKUP(B508,Okt!B:AZ,22,FALSE)&lt;&gt;0,VLOOKUP(B508,Okt!B:AZ,22,FALSE),"")</f>
        <v/>
      </c>
      <c r="N508" s="327"/>
    </row>
    <row r="509" spans="2:14" x14ac:dyDescent="0.25">
      <c r="B509" s="245">
        <f>Okt!F35</f>
        <v>42304</v>
      </c>
      <c r="C509" s="35">
        <f t="shared" si="6"/>
        <v>42304</v>
      </c>
      <c r="D509" s="17" t="str">
        <f>IF(AND(VLOOKUP(B509,Okt!B:AZ,8,FALSE)&gt;0,VLOOKUP(B509,Okt!B:AZ,6,FALSE)=""), CONCATENATE(TEXT(VLOOKUP(B509,Okt!B:AZ,7,FALSE),"hh:mm"), "-", TEXT(VLOOKUP(B509,Okt!B:AZ,8,FALSE),"[hh]:mm")," Uhr ", IF(VLOOKUP(B509,Okt!B:AZ,12,FALSE)&gt;0, CONCATENATE("und ",TEXT(VLOOKUP(B509,Okt!B:AZ,12,FALSE),"hh:mm"), "-", TEXT(VLOOKUP(B509,Okt!B:AZ,13,FALSE),"[hh]:mm")," Uhr "),"")), IF(VLOOKUP(B509,Okt!B:AZ,6,FALSE)="","",VLOOKUP(VLOOKUP(B509,Okt!B:AZ,6,FALSE),Legende_Code,2,FALSE)))</f>
        <v/>
      </c>
      <c r="E509" s="16" t="str">
        <f>IF(AND(VLOOKUP(B509,Okt!B:AZ,6,FALSE)="", WEEKDAY(B509,2)=6,VLOOKUP(B509,Okt!B:AZ,48,FALSE)&gt;0),VLOOKUP(B509,Okt!B:AZ,48,FALSE)*24,"")</f>
        <v/>
      </c>
      <c r="F509" s="16" t="str">
        <f>IF(AND(VLOOKUP(B509,Okt!B:AZ,6,FALSE)="", WEEKDAY(B509,2)=7,VLOOKUP(B509,Okt!B:AZ,49,FALSE)&gt;0),VLOOKUP(B509,Okt!B:AZ,49,FALSE)*24,"")</f>
        <v/>
      </c>
      <c r="G509" s="16" t="str">
        <f>IF(AND(VLOOKUP(B509,Okt!B:AZ,6,FALSE)="",VLOOKUP(B509,Okt!B:AZ,46,FALSE)&gt;0),VLOOKUP(B509,Okt!B:AZ,46,FALSE)*24,"")</f>
        <v/>
      </c>
      <c r="H509" s="36" t="str">
        <f>IF(AND(VLOOKUP(B509,Okt!B:AZ,6,FALSE)="",VLOOKUP(B509,Okt!B:AZ,50,FALSE)&gt;0),VLOOKUP(B509,Okt!B:AZ,50,FALSE)*24,"")</f>
        <v/>
      </c>
      <c r="I509" s="30" t="str">
        <f>IF(AND(NETWORKDAYS(B509,B509,Feiertage)=1,VLOOKUP(B509,Okt!B:AZ,6,FALSE)="U"),"Urlaub","")</f>
        <v/>
      </c>
      <c r="J509" s="34" t="str">
        <f ca="1">IF(AND(VLOOKUP(B509,Okt!B:AZ,6,FALSE)="",VLOOKUP(B509,Okt!B:AZ,22,FALSE)&lt;0),"Absetzen von","")</f>
        <v/>
      </c>
      <c r="K509" s="263"/>
      <c r="M509" s="316" t="str">
        <f ca="1">IF(VLOOKUP(B509,Okt!B:AZ,22,FALSE)&lt;&gt;0,VLOOKUP(B509,Okt!B:AZ,22,FALSE),"")</f>
        <v/>
      </c>
      <c r="N509" s="327"/>
    </row>
    <row r="510" spans="2:14" x14ac:dyDescent="0.25">
      <c r="B510" s="245">
        <f>Okt!F36</f>
        <v>42305</v>
      </c>
      <c r="C510" s="35">
        <f t="shared" si="6"/>
        <v>42305</v>
      </c>
      <c r="D510" s="17" t="str">
        <f>IF(AND(VLOOKUP(B510,Okt!B:AZ,8,FALSE)&gt;0,VLOOKUP(B510,Okt!B:AZ,6,FALSE)=""), CONCATENATE(TEXT(VLOOKUP(B510,Okt!B:AZ,7,FALSE),"hh:mm"), "-", TEXT(VLOOKUP(B510,Okt!B:AZ,8,FALSE),"[hh]:mm")," Uhr ", IF(VLOOKUP(B510,Okt!B:AZ,12,FALSE)&gt;0, CONCATENATE("und ",TEXT(VLOOKUP(B510,Okt!B:AZ,12,FALSE),"hh:mm"), "-", TEXT(VLOOKUP(B510,Okt!B:AZ,13,FALSE),"[hh]:mm")," Uhr "),"")), IF(VLOOKUP(B510,Okt!B:AZ,6,FALSE)="","",VLOOKUP(VLOOKUP(B510,Okt!B:AZ,6,FALSE),Legende_Code,2,FALSE)))</f>
        <v/>
      </c>
      <c r="E510" s="16" t="str">
        <f>IF(AND(VLOOKUP(B510,Okt!B:AZ,6,FALSE)="", WEEKDAY(B510,2)=6,VLOOKUP(B510,Okt!B:AZ,48,FALSE)&gt;0),VLOOKUP(B510,Okt!B:AZ,48,FALSE)*24,"")</f>
        <v/>
      </c>
      <c r="F510" s="16" t="str">
        <f>IF(AND(VLOOKUP(B510,Okt!B:AZ,6,FALSE)="", WEEKDAY(B510,2)=7,VLOOKUP(B510,Okt!B:AZ,49,FALSE)&gt;0),VLOOKUP(B510,Okt!B:AZ,49,FALSE)*24,"")</f>
        <v/>
      </c>
      <c r="G510" s="16" t="str">
        <f>IF(AND(VLOOKUP(B510,Okt!B:AZ,6,FALSE)="",VLOOKUP(B510,Okt!B:AZ,46,FALSE)&gt;0),VLOOKUP(B510,Okt!B:AZ,46,FALSE)*24,"")</f>
        <v/>
      </c>
      <c r="H510" s="36" t="str">
        <f>IF(AND(VLOOKUP(B510,Okt!B:AZ,6,FALSE)="",VLOOKUP(B510,Okt!B:AZ,50,FALSE)&gt;0),VLOOKUP(B510,Okt!B:AZ,50,FALSE)*24,"")</f>
        <v/>
      </c>
      <c r="I510" s="30" t="str">
        <f>IF(AND(NETWORKDAYS(B510,B510,Feiertage)=1,VLOOKUP(B510,Okt!B:AZ,6,FALSE)="U"),"Urlaub","")</f>
        <v/>
      </c>
      <c r="J510" s="34" t="str">
        <f ca="1">IF(AND(VLOOKUP(B510,Okt!B:AZ,6,FALSE)="",VLOOKUP(B510,Okt!B:AZ,22,FALSE)&lt;0),"Absetzen von","")</f>
        <v/>
      </c>
      <c r="K510" s="263"/>
      <c r="M510" s="316" t="str">
        <f ca="1">IF(VLOOKUP(B510,Okt!B:AZ,22,FALSE)&lt;&gt;0,VLOOKUP(B510,Okt!B:AZ,22,FALSE),"")</f>
        <v/>
      </c>
      <c r="N510" s="327"/>
    </row>
    <row r="511" spans="2:14" x14ac:dyDescent="0.25">
      <c r="B511" s="245">
        <f>Okt!F37</f>
        <v>42306</v>
      </c>
      <c r="C511" s="35">
        <f t="shared" si="6"/>
        <v>42306</v>
      </c>
      <c r="D511" s="17" t="str">
        <f>IF(AND(VLOOKUP(B511,Okt!B:AZ,8,FALSE)&gt;0,VLOOKUP(B511,Okt!B:AZ,6,FALSE)=""), CONCATENATE(TEXT(VLOOKUP(B511,Okt!B:AZ,7,FALSE),"hh:mm"), "-", TEXT(VLOOKUP(B511,Okt!B:AZ,8,FALSE),"[hh]:mm")," Uhr ", IF(VLOOKUP(B511,Okt!B:AZ,12,FALSE)&gt;0, CONCATENATE("und ",TEXT(VLOOKUP(B511,Okt!B:AZ,12,FALSE),"hh:mm"), "-", TEXT(VLOOKUP(B511,Okt!B:AZ,13,FALSE),"[hh]:mm")," Uhr "),"")), IF(VLOOKUP(B511,Okt!B:AZ,6,FALSE)="","",VLOOKUP(VLOOKUP(B511,Okt!B:AZ,6,FALSE),Legende_Code,2,FALSE)))</f>
        <v/>
      </c>
      <c r="E511" s="16" t="str">
        <f>IF(AND(VLOOKUP(B511,Okt!B:AZ,6,FALSE)="", WEEKDAY(B511,2)=6,VLOOKUP(B511,Okt!B:AZ,48,FALSE)&gt;0),VLOOKUP(B511,Okt!B:AZ,48,FALSE)*24,"")</f>
        <v/>
      </c>
      <c r="F511" s="16" t="str">
        <f>IF(AND(VLOOKUP(B511,Okt!B:AZ,6,FALSE)="", WEEKDAY(B511,2)=7,VLOOKUP(B511,Okt!B:AZ,49,FALSE)&gt;0),VLOOKUP(B511,Okt!B:AZ,49,FALSE)*24,"")</f>
        <v/>
      </c>
      <c r="G511" s="16" t="str">
        <f>IF(AND(VLOOKUP(B511,Okt!B:AZ,6,FALSE)="",VLOOKUP(B511,Okt!B:AZ,46,FALSE)&gt;0),VLOOKUP(B511,Okt!B:AZ,46,FALSE)*24,"")</f>
        <v/>
      </c>
      <c r="H511" s="36" t="str">
        <f>IF(AND(VLOOKUP(B511,Okt!B:AZ,6,FALSE)="",VLOOKUP(B511,Okt!B:AZ,50,FALSE)&gt;0),VLOOKUP(B511,Okt!B:AZ,50,FALSE)*24,"")</f>
        <v/>
      </c>
      <c r="I511" s="30" t="str">
        <f>IF(AND(NETWORKDAYS(B511,B511,Feiertage)=1,VLOOKUP(B511,Okt!B:AZ,6,FALSE)="U"),"Urlaub","")</f>
        <v/>
      </c>
      <c r="J511" s="34" t="str">
        <f ca="1">IF(AND(VLOOKUP(B511,Okt!B:AZ,6,FALSE)="",VLOOKUP(B511,Okt!B:AZ,22,FALSE)&lt;0),"Absetzen von","")</f>
        <v/>
      </c>
      <c r="K511" s="263"/>
      <c r="M511" s="316" t="str">
        <f ca="1">IF(VLOOKUP(B511,Okt!B:AZ,22,FALSE)&lt;&gt;0,VLOOKUP(B511,Okt!B:AZ,22,FALSE),"")</f>
        <v/>
      </c>
      <c r="N511" s="327"/>
    </row>
    <row r="512" spans="2:14" ht="15.75" thickBot="1" x14ac:dyDescent="0.3">
      <c r="B512" s="245">
        <f>Okt!F38</f>
        <v>42307</v>
      </c>
      <c r="C512" s="35">
        <f t="shared" si="6"/>
        <v>42307</v>
      </c>
      <c r="D512" s="17" t="str">
        <f>IF(AND(VLOOKUP(B512,Okt!B:AZ,8,FALSE)&gt;0,VLOOKUP(B512,Okt!B:AZ,6,FALSE)=""), CONCATENATE(TEXT(VLOOKUP(B512,Okt!B:AZ,7,FALSE),"hh:mm"), "-", TEXT(VLOOKUP(B512,Okt!B:AZ,8,FALSE),"[hh]:mm")," Uhr ", IF(VLOOKUP(B512,Okt!B:AZ,12,FALSE)&gt;0, CONCATENATE("und ",TEXT(VLOOKUP(B512,Okt!B:AZ,12,FALSE),"hh:mm"), "-", TEXT(VLOOKUP(B512,Okt!B:AZ,13,FALSE),"[hh]:mm")," Uhr "),"")), IF(VLOOKUP(B512,Okt!B:AZ,6,FALSE)="","",VLOOKUP(VLOOKUP(B512,Okt!B:AZ,6,FALSE),Legende_Code,2,FALSE)))</f>
        <v/>
      </c>
      <c r="E512" s="16" t="str">
        <f>IF(AND(VLOOKUP(B512,Okt!B:AZ,6,FALSE)="", WEEKDAY(B512,2)=6,VLOOKUP(B512,Okt!B:AZ,48,FALSE)&gt;0),VLOOKUP(B512,Okt!B:AZ,48,FALSE)*24,"")</f>
        <v/>
      </c>
      <c r="F512" s="16" t="str">
        <f>IF(AND(VLOOKUP(B512,Okt!B:AZ,6,FALSE)="", WEEKDAY(B512,2)=7,VLOOKUP(B512,Okt!B:AZ,49,FALSE)&gt;0),VLOOKUP(B512,Okt!B:AZ,49,FALSE)*24,"")</f>
        <v/>
      </c>
      <c r="G512" s="16" t="str">
        <f>IF(AND(VLOOKUP(B512,Okt!B:AZ,6,FALSE)="",VLOOKUP(B512,Okt!B:AZ,46,FALSE)&gt;0),VLOOKUP(B512,Okt!B:AZ,46,FALSE)*24,"")</f>
        <v/>
      </c>
      <c r="H512" s="36" t="str">
        <f>IF(AND(VLOOKUP(B512,Okt!B:AZ,6,FALSE)="",VLOOKUP(B512,Okt!B:AZ,50,FALSE)&gt;0),VLOOKUP(B512,Okt!B:AZ,50,FALSE)*24,"")</f>
        <v/>
      </c>
      <c r="I512" s="30" t="str">
        <f>IF(AND(NETWORKDAYS(B512,B512,Feiertage)=1,VLOOKUP(B512,Okt!B:AZ,6,FALSE)="U"),"Urlaub","")</f>
        <v/>
      </c>
      <c r="J512" s="34" t="str">
        <f>IF(AND(VLOOKUP(B512,Okt!B:AZ,6,FALSE)="",VLOOKUP(B512,Okt!B:AZ,22,FALSE)&lt;0),"Absetzen von","")</f>
        <v/>
      </c>
      <c r="K512" s="263"/>
      <c r="M512" s="316" t="str">
        <f>IF(VLOOKUP(B512,Okt!B:AZ,22,FALSE)&lt;&gt;0,VLOOKUP(B512,Okt!B:AZ,22,FALSE),"")</f>
        <v/>
      </c>
      <c r="N512" s="327"/>
    </row>
    <row r="513" spans="1:14" ht="15.75" thickBot="1" x14ac:dyDescent="0.3">
      <c r="B513" s="186"/>
      <c r="C513" s="37"/>
      <c r="D513" s="38" t="s">
        <v>198</v>
      </c>
      <c r="E513" s="39" t="str">
        <f>IF(SUM(E482:E512)=0," ",SUM(E482:E512))</f>
        <v xml:space="preserve"> </v>
      </c>
      <c r="F513" s="39" t="str">
        <f>IF(SUM(F482:F512)=0," ",SUM(F482:F512))</f>
        <v xml:space="preserve"> </v>
      </c>
      <c r="G513" s="39" t="str">
        <f>IF(SUM(G482:G512)=0," ",SUM(G482:G512))</f>
        <v xml:space="preserve"> </v>
      </c>
      <c r="H513" s="40" t="str">
        <f>IF(SUM(H482:H512)=0," ",SUM(H482:H512))</f>
        <v xml:space="preserve"> </v>
      </c>
      <c r="I513" s="30"/>
      <c r="J513" s="185"/>
      <c r="K513" s="271"/>
      <c r="N513" s="327"/>
    </row>
    <row r="514" spans="1:14" x14ac:dyDescent="0.25">
      <c r="B514" s="44" t="s">
        <v>199</v>
      </c>
      <c r="C514" s="20"/>
      <c r="D514" s="41"/>
      <c r="E514" s="20"/>
      <c r="F514" s="20"/>
      <c r="G514" s="20" t="s">
        <v>200</v>
      </c>
      <c r="H514" s="20"/>
      <c r="I514" s="20"/>
      <c r="J514" s="20"/>
      <c r="K514" s="267"/>
      <c r="N514" s="327"/>
    </row>
    <row r="515" spans="1:14" x14ac:dyDescent="0.25">
      <c r="B515" s="44"/>
      <c r="C515" s="20"/>
      <c r="D515" s="41"/>
      <c r="E515" s="20"/>
      <c r="F515" s="20"/>
      <c r="G515" s="20"/>
      <c r="H515" s="20"/>
      <c r="I515" s="20"/>
      <c r="J515" s="20"/>
      <c r="K515" s="267"/>
      <c r="N515" s="327"/>
    </row>
    <row r="516" spans="1:14" x14ac:dyDescent="0.25">
      <c r="B516" s="44"/>
      <c r="C516" s="20"/>
      <c r="D516" s="41"/>
      <c r="E516" s="20"/>
      <c r="F516" s="20"/>
      <c r="G516" s="20"/>
      <c r="H516" s="20"/>
      <c r="I516" s="20"/>
      <c r="J516" s="20"/>
      <c r="K516" s="267"/>
      <c r="N516" s="327"/>
    </row>
    <row r="517" spans="1:14" x14ac:dyDescent="0.25">
      <c r="B517" s="44" t="s">
        <v>201</v>
      </c>
      <c r="C517" s="20"/>
      <c r="D517" s="41"/>
      <c r="E517" s="20"/>
      <c r="F517" s="20"/>
      <c r="G517" s="20" t="s">
        <v>202</v>
      </c>
      <c r="H517" s="20"/>
      <c r="I517" s="20"/>
      <c r="J517" s="20"/>
      <c r="K517" s="267"/>
      <c r="N517" s="327"/>
    </row>
    <row r="518" spans="1:14" x14ac:dyDescent="0.25">
      <c r="B518" s="253"/>
      <c r="C518" s="42"/>
      <c r="D518" s="18"/>
      <c r="E518" s="19"/>
      <c r="F518" s="19"/>
      <c r="G518" s="19"/>
      <c r="H518" s="43"/>
      <c r="I518" s="20"/>
      <c r="J518" s="44"/>
      <c r="K518" s="268"/>
      <c r="N518" s="327"/>
    </row>
    <row r="519" spans="1:14" x14ac:dyDescent="0.25">
      <c r="B519" s="253"/>
      <c r="C519" s="42"/>
      <c r="D519" s="18"/>
      <c r="E519" s="19"/>
      <c r="F519" s="19"/>
      <c r="G519" s="19"/>
      <c r="H519" s="43"/>
      <c r="I519" s="20"/>
      <c r="J519" s="44"/>
      <c r="K519" s="268"/>
      <c r="N519" s="327"/>
    </row>
    <row r="520" spans="1:14" x14ac:dyDescent="0.25">
      <c r="B520" s="253"/>
      <c r="C520" s="42"/>
      <c r="D520" s="18"/>
      <c r="E520" s="19"/>
      <c r="F520" s="19"/>
      <c r="G520" s="19"/>
      <c r="H520" s="43"/>
      <c r="I520" s="20"/>
      <c r="J520" s="44"/>
      <c r="K520" s="268"/>
      <c r="N520" s="327"/>
    </row>
    <row r="521" spans="1:14" x14ac:dyDescent="0.25">
      <c r="B521" s="253"/>
      <c r="C521" s="42"/>
      <c r="D521" s="18"/>
      <c r="E521" s="19"/>
      <c r="F521" s="19"/>
      <c r="G521" s="19"/>
      <c r="H521" s="43"/>
      <c r="I521" s="20"/>
      <c r="J521" s="44"/>
      <c r="K521" s="268"/>
      <c r="N521" s="327"/>
    </row>
    <row r="522" spans="1:14" s="45" customFormat="1" ht="18" x14ac:dyDescent="0.25">
      <c r="B522" s="252"/>
      <c r="C522" s="539" t="s">
        <v>186</v>
      </c>
      <c r="D522" s="539"/>
      <c r="E522" s="539"/>
      <c r="F522" s="539"/>
      <c r="G522" s="21"/>
      <c r="H522" s="21"/>
      <c r="I522" s="21"/>
      <c r="J522" s="21"/>
      <c r="K522" s="259"/>
      <c r="M522" s="317"/>
      <c r="N522" s="328"/>
    </row>
    <row r="523" spans="1:14" s="45" customFormat="1" ht="16.5" x14ac:dyDescent="0.25">
      <c r="B523" s="252" t="s">
        <v>82</v>
      </c>
      <c r="C523" s="21"/>
      <c r="D523" s="22"/>
      <c r="E523" s="21"/>
      <c r="F523" s="21"/>
      <c r="G523" s="21"/>
      <c r="H523" s="21"/>
      <c r="I523" s="23" t="str">
        <f>Struktureinheit</f>
        <v>Struktureinheit</v>
      </c>
      <c r="J523" s="24"/>
      <c r="K523" s="260"/>
      <c r="M523" s="317" t="s">
        <v>187</v>
      </c>
      <c r="N523" s="256"/>
    </row>
    <row r="524" spans="1:14" ht="16.5" x14ac:dyDescent="0.25">
      <c r="A524" s="29"/>
      <c r="B524" s="545" t="s">
        <v>1</v>
      </c>
      <c r="C524" s="545"/>
      <c r="D524" s="20" t="str">
        <f>Name</f>
        <v>Max Mustermann</v>
      </c>
      <c r="E524" s="25"/>
      <c r="F524" s="25"/>
      <c r="G524" s="25"/>
      <c r="H524" s="26"/>
      <c r="I524" s="27"/>
      <c r="J524" s="27"/>
      <c r="K524" s="260"/>
      <c r="M524" s="317" t="s">
        <v>188</v>
      </c>
      <c r="N524" s="257"/>
    </row>
    <row r="525" spans="1:14" ht="9.75" customHeight="1" x14ac:dyDescent="0.25">
      <c r="A525" s="29"/>
      <c r="C525" s="26"/>
      <c r="D525" s="28"/>
      <c r="E525" s="26"/>
      <c r="F525" s="26"/>
      <c r="G525" s="26"/>
      <c r="H525" s="26"/>
      <c r="I525" s="26"/>
      <c r="J525" s="26"/>
      <c r="K525" s="259"/>
      <c r="N525" s="327"/>
    </row>
    <row r="526" spans="1:14" x14ac:dyDescent="0.25">
      <c r="A526" s="29"/>
      <c r="B526" s="545" t="s">
        <v>189</v>
      </c>
      <c r="C526" s="545"/>
      <c r="D526" s="26">
        <f>Personalnummer</f>
        <v>123456789</v>
      </c>
      <c r="G526" s="26"/>
      <c r="H526" s="184" t="s">
        <v>190</v>
      </c>
      <c r="I526" s="540">
        <f>Geburtstag</f>
        <v>16833</v>
      </c>
      <c r="J526" s="540"/>
      <c r="K526" s="261"/>
      <c r="N526" s="327"/>
    </row>
    <row r="527" spans="1:14" x14ac:dyDescent="0.25">
      <c r="A527" s="29"/>
      <c r="C527" s="26"/>
      <c r="D527" s="28"/>
      <c r="E527" s="26"/>
      <c r="F527" s="26"/>
      <c r="G527" s="26"/>
      <c r="H527" s="26"/>
      <c r="I527" s="26"/>
      <c r="J527" s="26"/>
      <c r="K527" s="259"/>
      <c r="N527" s="327"/>
    </row>
    <row r="528" spans="1:14" x14ac:dyDescent="0.25">
      <c r="A528" s="29"/>
      <c r="B528" s="541" t="s">
        <v>191</v>
      </c>
      <c r="C528" s="541"/>
      <c r="D528" s="542">
        <f>B534</f>
        <v>42308</v>
      </c>
      <c r="E528" s="542"/>
      <c r="F528" s="542"/>
      <c r="G528" s="542"/>
      <c r="H528" s="542"/>
      <c r="I528" s="186"/>
      <c r="J528" s="543"/>
      <c r="K528" s="544"/>
      <c r="N528" s="327"/>
    </row>
    <row r="529" spans="2:14" ht="15" customHeight="1" x14ac:dyDescent="0.25">
      <c r="B529" s="557"/>
      <c r="C529" s="557"/>
      <c r="D529" s="558" t="s">
        <v>192</v>
      </c>
      <c r="E529" s="546" t="s">
        <v>38</v>
      </c>
      <c r="F529" s="546" t="s">
        <v>39</v>
      </c>
      <c r="G529" s="546" t="s">
        <v>105</v>
      </c>
      <c r="H529" s="548" t="s">
        <v>81</v>
      </c>
      <c r="I529" s="30" t="s">
        <v>193</v>
      </c>
      <c r="J529" s="550" t="s">
        <v>63</v>
      </c>
      <c r="K529" s="551"/>
      <c r="N529" s="327"/>
    </row>
    <row r="530" spans="2:14" x14ac:dyDescent="0.25">
      <c r="B530" s="557"/>
      <c r="C530" s="557"/>
      <c r="D530" s="558"/>
      <c r="E530" s="547"/>
      <c r="F530" s="547"/>
      <c r="G530" s="547"/>
      <c r="H530" s="549"/>
      <c r="I530" s="552"/>
      <c r="J530" s="550"/>
      <c r="K530" s="551"/>
      <c r="N530" s="327"/>
    </row>
    <row r="531" spans="2:14" x14ac:dyDescent="0.25">
      <c r="B531" s="557"/>
      <c r="C531" s="186"/>
      <c r="D531" s="31" t="s">
        <v>194</v>
      </c>
      <c r="E531" s="186" t="s">
        <v>195</v>
      </c>
      <c r="F531" s="186"/>
      <c r="G531" s="186" t="s">
        <v>196</v>
      </c>
      <c r="H531" s="32"/>
      <c r="I531" s="544"/>
      <c r="J531" s="543"/>
      <c r="K531" s="554"/>
      <c r="N531" s="327"/>
    </row>
    <row r="532" spans="2:14" x14ac:dyDescent="0.25">
      <c r="B532" s="186" t="s">
        <v>80</v>
      </c>
      <c r="C532" s="186" t="s">
        <v>128</v>
      </c>
      <c r="D532" s="31"/>
      <c r="E532" s="186" t="s">
        <v>197</v>
      </c>
      <c r="F532" s="186" t="s">
        <v>197</v>
      </c>
      <c r="G532" s="186" t="s">
        <v>197</v>
      </c>
      <c r="H532" s="32" t="s">
        <v>197</v>
      </c>
      <c r="I532" s="553"/>
      <c r="J532" s="555"/>
      <c r="K532" s="556"/>
      <c r="N532" s="327"/>
    </row>
    <row r="533" spans="2:14" x14ac:dyDescent="0.25">
      <c r="B533" s="186"/>
      <c r="C533" s="186"/>
      <c r="D533" s="33"/>
      <c r="E533" s="16"/>
      <c r="F533" s="186"/>
      <c r="G533" s="186"/>
      <c r="H533" s="32"/>
      <c r="I533" s="30"/>
      <c r="J533" s="34"/>
      <c r="K533" s="269"/>
      <c r="N533" s="327"/>
    </row>
    <row r="534" spans="2:14" x14ac:dyDescent="0.25">
      <c r="B534" s="245">
        <f>Nov!F8</f>
        <v>42308</v>
      </c>
      <c r="C534" s="35">
        <f t="shared" si="6"/>
        <v>42308</v>
      </c>
      <c r="D534" s="17" t="str">
        <f>IF(AND(VLOOKUP(B534,Nov!B:AZ,8,FALSE)&gt;0,VLOOKUP(B534,Nov!B:AZ,6,FALSE)=""), CONCATENATE(TEXT(VLOOKUP(B534,Nov!B:AZ,7,FALSE),"hh:mm"), "-", TEXT(VLOOKUP(B534,Nov!B:AZ,8,FALSE),"[hh]:mm")," Uhr ", IF(VLOOKUP(B534,Nov!B:AZ,12,FALSE)&gt;0, CONCATENATE("und ",TEXT(VLOOKUP(B534,Nov!B:AZ,12,FALSE),"hh:mm"), "-", TEXT(VLOOKUP(B534,Nov!B:AZ,13,FALSE),"[hh]:mm")," Uhr "),"")), IF(VLOOKUP(B534,Nov!B:AZ,6,FALSE)="","",VLOOKUP(VLOOKUP(B534,Nov!B:AZ,6,FALSE),Legende_Code,2,FALSE)))</f>
        <v/>
      </c>
      <c r="E534" s="16" t="str">
        <f>IF(AND(VLOOKUP(B534,Nov!B:AZ,6,FALSE)="", WEEKDAY(B534,2)=6,VLOOKUP(B534,Nov!B:AZ,48,FALSE)&gt;0),VLOOKUP(B534,Nov!B:AZ,48,FALSE)*24,"")</f>
        <v/>
      </c>
      <c r="F534" s="16" t="str">
        <f>IF(AND(VLOOKUP(B534,Nov!B:AZ,6,FALSE)="", WEEKDAY(B534,2)=7,VLOOKUP(B534,Nov!B:AZ,49,FALSE)&gt;0),VLOOKUP(B534,Nov!B:AZ,49,FALSE)*24,"")</f>
        <v/>
      </c>
      <c r="G534" s="16" t="str">
        <f>IF(AND(VLOOKUP(B534,Nov!B:AZ,6,FALSE)="",VLOOKUP(B534,Nov!B:AZ,46,FALSE)&gt;0),VLOOKUP(B534,Nov!B:AZ,46,FALSE)*24,"")</f>
        <v/>
      </c>
      <c r="H534" s="36" t="str">
        <f>IF(AND(VLOOKUP(B534,Nov!B:AZ,6,FALSE)="",VLOOKUP(B534,Nov!B:AZ,50,FALSE)&gt;0),VLOOKUP(B534,Nov!B:AZ,50,FALSE)*24,"")</f>
        <v/>
      </c>
      <c r="I534" s="30" t="str">
        <f>IF(AND(NETWORKDAYS(B534,B534,Feiertage)=1,VLOOKUP(B534,Nov!B:AZ,6,FALSE)="U"),"Urlaub","")</f>
        <v/>
      </c>
      <c r="J534" s="34" t="str">
        <f ca="1">IF(AND(VLOOKUP(B534,Nov!B:AZ,6,FALSE)="",VLOOKUP(B534,Nov!B:AZ,22,FALSE)&lt;0),"Absetzen von","")</f>
        <v/>
      </c>
      <c r="K534" s="263"/>
      <c r="M534" s="316" t="str">
        <f ca="1">IF(VLOOKUP(B534,Nov!B:AZ,22,FALSE)&lt;&gt;0,VLOOKUP(B534,Nov!B:AZ,22,FALSE),"")</f>
        <v/>
      </c>
      <c r="N534" s="327"/>
    </row>
    <row r="535" spans="2:14" x14ac:dyDescent="0.25">
      <c r="B535" s="245">
        <f>Nov!F9</f>
        <v>42309</v>
      </c>
      <c r="C535" s="35">
        <f t="shared" si="6"/>
        <v>42309</v>
      </c>
      <c r="D535" s="17" t="str">
        <f>IF(AND(VLOOKUP(B535,Nov!B:AZ,8,FALSE)&gt;0,VLOOKUP(B535,Nov!B:AZ,6,FALSE)=""), CONCATENATE(TEXT(VLOOKUP(B535,Nov!B:AZ,7,FALSE),"hh:mm"), "-", TEXT(VLOOKUP(B535,Nov!B:AZ,8,FALSE),"[hh]:mm")," Uhr ", IF(VLOOKUP(B535,Nov!B:AZ,12,FALSE)&gt;0, CONCATENATE("und ",TEXT(VLOOKUP(B535,Nov!B:AZ,12,FALSE),"hh:mm"), "-", TEXT(VLOOKUP(B535,Nov!B:AZ,13,FALSE),"[hh]:mm")," Uhr "),"")), IF(VLOOKUP(B535,Nov!B:AZ,6,FALSE)="","",VLOOKUP(VLOOKUP(B535,Nov!B:AZ,6,FALSE),Legende_Code,2,FALSE)))</f>
        <v/>
      </c>
      <c r="E535" s="16" t="str">
        <f>IF(AND(VLOOKUP(B535,Nov!B:AZ,6,FALSE)="", WEEKDAY(B535,2)=6,VLOOKUP(B535,Nov!B:AZ,48,FALSE)&gt;0),VLOOKUP(B535,Nov!B:AZ,48,FALSE)*24,"")</f>
        <v/>
      </c>
      <c r="F535" s="16" t="str">
        <f>IF(AND(VLOOKUP(B535,Nov!B:AZ,6,FALSE)="", WEEKDAY(B535,2)=7,VLOOKUP(B535,Nov!B:AZ,49,FALSE)&gt;0),VLOOKUP(B535,Nov!B:AZ,49,FALSE)*24,"")</f>
        <v/>
      </c>
      <c r="G535" s="16" t="str">
        <f>IF(AND(VLOOKUP(B535,Nov!B:AZ,6,FALSE)="",VLOOKUP(B535,Nov!B:AZ,46,FALSE)&gt;0),VLOOKUP(B535,Nov!B:AZ,46,FALSE)*24,"")</f>
        <v/>
      </c>
      <c r="H535" s="36" t="str">
        <f>IF(AND(VLOOKUP(B535,Nov!B:AZ,6,FALSE)="",VLOOKUP(B535,Nov!B:AZ,50,FALSE)&gt;0),VLOOKUP(B535,Nov!B:AZ,50,FALSE)*24,"")</f>
        <v/>
      </c>
      <c r="I535" s="30" t="str">
        <f>IF(AND(NETWORKDAYS(B535,B535,Feiertage)=1,VLOOKUP(B535,Nov!B:AZ,6,FALSE)="U"),"Urlaub","")</f>
        <v/>
      </c>
      <c r="J535" s="34" t="str">
        <f ca="1">IF(AND(VLOOKUP(B535,Nov!B:AZ,6,FALSE)="",VLOOKUP(B535,Nov!B:AZ,22,FALSE)&lt;0),"Absetzen von","")</f>
        <v/>
      </c>
      <c r="K535" s="263"/>
      <c r="M535" s="316" t="str">
        <f ca="1">IF(VLOOKUP(B535,Nov!B:AZ,22,FALSE)&lt;&gt;0,VLOOKUP(B535,Nov!B:AZ,22,FALSE),"")</f>
        <v/>
      </c>
      <c r="N535" s="327"/>
    </row>
    <row r="536" spans="2:14" x14ac:dyDescent="0.25">
      <c r="B536" s="245">
        <f>Nov!F10</f>
        <v>42310</v>
      </c>
      <c r="C536" s="35">
        <f t="shared" si="6"/>
        <v>42310</v>
      </c>
      <c r="D536" s="17" t="str">
        <f>IF(AND(VLOOKUP(B536,Nov!B:AZ,8,FALSE)&gt;0,VLOOKUP(B536,Nov!B:AZ,6,FALSE)=""), CONCATENATE(TEXT(VLOOKUP(B536,Nov!B:AZ,7,FALSE),"hh:mm"), "-", TEXT(VLOOKUP(B536,Nov!B:AZ,8,FALSE),"[hh]:mm")," Uhr ", IF(VLOOKUP(B536,Nov!B:AZ,12,FALSE)&gt;0, CONCATENATE("und ",TEXT(VLOOKUP(B536,Nov!B:AZ,12,FALSE),"hh:mm"), "-", TEXT(VLOOKUP(B536,Nov!B:AZ,13,FALSE),"[hh]:mm")," Uhr "),"")), IF(VLOOKUP(B536,Nov!B:AZ,6,FALSE)="","",VLOOKUP(VLOOKUP(B536,Nov!B:AZ,6,FALSE),Legende_Code,2,FALSE)))</f>
        <v/>
      </c>
      <c r="E536" s="16" t="str">
        <f>IF(AND(VLOOKUP(B536,Nov!B:AZ,6,FALSE)="", WEEKDAY(B536,2)=6,VLOOKUP(B536,Nov!B:AZ,48,FALSE)&gt;0),VLOOKUP(B536,Nov!B:AZ,48,FALSE)*24,"")</f>
        <v/>
      </c>
      <c r="F536" s="16" t="str">
        <f>IF(AND(VLOOKUP(B536,Nov!B:AZ,6,FALSE)="", WEEKDAY(B536,2)=7,VLOOKUP(B536,Nov!B:AZ,49,FALSE)&gt;0),VLOOKUP(B536,Nov!B:AZ,49,FALSE)*24,"")</f>
        <v/>
      </c>
      <c r="G536" s="16" t="str">
        <f>IF(AND(VLOOKUP(B536,Nov!B:AZ,6,FALSE)="",VLOOKUP(B536,Nov!B:AZ,46,FALSE)&gt;0),VLOOKUP(B536,Nov!B:AZ,46,FALSE)*24,"")</f>
        <v/>
      </c>
      <c r="H536" s="36" t="str">
        <f>IF(AND(VLOOKUP(B536,Nov!B:AZ,6,FALSE)="",VLOOKUP(B536,Nov!B:AZ,50,FALSE)&gt;0),VLOOKUP(B536,Nov!B:AZ,50,FALSE)*24,"")</f>
        <v/>
      </c>
      <c r="I536" s="30" t="str">
        <f>IF(AND(NETWORKDAYS(B536,B536,Feiertage)=1,VLOOKUP(B536,Nov!B:AZ,6,FALSE)="U"),"Urlaub","")</f>
        <v/>
      </c>
      <c r="J536" s="34" t="str">
        <f ca="1">IF(AND(VLOOKUP(B536,Nov!B:AZ,6,FALSE)="",VLOOKUP(B536,Nov!B:AZ,22,FALSE)&lt;0),"Absetzen von","")</f>
        <v/>
      </c>
      <c r="K536" s="263"/>
      <c r="M536" s="316" t="str">
        <f ca="1">IF(VLOOKUP(B536,Nov!B:AZ,22,FALSE)&lt;&gt;0,VLOOKUP(B536,Nov!B:AZ,22,FALSE),"")</f>
        <v/>
      </c>
      <c r="N536" s="327"/>
    </row>
    <row r="537" spans="2:14" x14ac:dyDescent="0.25">
      <c r="B537" s="245">
        <f>Nov!F11</f>
        <v>42311</v>
      </c>
      <c r="C537" s="35">
        <f t="shared" si="6"/>
        <v>42311</v>
      </c>
      <c r="D537" s="17" t="str">
        <f>IF(AND(VLOOKUP(B537,Nov!B:AZ,8,FALSE)&gt;0,VLOOKUP(B537,Nov!B:AZ,6,FALSE)=""), CONCATENATE(TEXT(VLOOKUP(B537,Nov!B:AZ,7,FALSE),"hh:mm"), "-", TEXT(VLOOKUP(B537,Nov!B:AZ,8,FALSE),"[hh]:mm")," Uhr ", IF(VLOOKUP(B537,Nov!B:AZ,12,FALSE)&gt;0, CONCATENATE("und ",TEXT(VLOOKUP(B537,Nov!B:AZ,12,FALSE),"hh:mm"), "-", TEXT(VLOOKUP(B537,Nov!B:AZ,13,FALSE),"[hh]:mm")," Uhr "),"")), IF(VLOOKUP(B537,Nov!B:AZ,6,FALSE)="","",VLOOKUP(VLOOKUP(B537,Nov!B:AZ,6,FALSE),Legende_Code,2,FALSE)))</f>
        <v/>
      </c>
      <c r="E537" s="16" t="str">
        <f>IF(AND(VLOOKUP(B537,Nov!B:AZ,6,FALSE)="", WEEKDAY(B537,2)=6,VLOOKUP(B537,Nov!B:AZ,48,FALSE)&gt;0),VLOOKUP(B537,Nov!B:AZ,48,FALSE)*24,"")</f>
        <v/>
      </c>
      <c r="F537" s="16" t="str">
        <f>IF(AND(VLOOKUP(B537,Nov!B:AZ,6,FALSE)="", WEEKDAY(B537,2)=7,VLOOKUP(B537,Nov!B:AZ,49,FALSE)&gt;0),VLOOKUP(B537,Nov!B:AZ,49,FALSE)*24,"")</f>
        <v/>
      </c>
      <c r="G537" s="16" t="str">
        <f>IF(AND(VLOOKUP(B537,Nov!B:AZ,6,FALSE)="",VLOOKUP(B537,Nov!B:AZ,46,FALSE)&gt;0),VLOOKUP(B537,Nov!B:AZ,46,FALSE)*24,"")</f>
        <v/>
      </c>
      <c r="H537" s="36" t="str">
        <f>IF(AND(VLOOKUP(B537,Nov!B:AZ,6,FALSE)="",VLOOKUP(B537,Nov!B:AZ,50,FALSE)&gt;0),VLOOKUP(B537,Nov!B:AZ,50,FALSE)*24,"")</f>
        <v/>
      </c>
      <c r="I537" s="30" t="str">
        <f>IF(AND(NETWORKDAYS(B537,B537,Feiertage)=1,VLOOKUP(B537,Nov!B:AZ,6,FALSE)="U"),"Urlaub","")</f>
        <v/>
      </c>
      <c r="J537" s="34" t="str">
        <f ca="1">IF(AND(VLOOKUP(B537,Nov!B:AZ,6,FALSE)="",VLOOKUP(B537,Nov!B:AZ,22,FALSE)&lt;0),"Absetzen von","")</f>
        <v/>
      </c>
      <c r="K537" s="263"/>
      <c r="M537" s="316" t="str">
        <f ca="1">IF(VLOOKUP(B537,Nov!B:AZ,22,FALSE)&lt;&gt;0,VLOOKUP(B537,Nov!B:AZ,22,FALSE),"")</f>
        <v/>
      </c>
      <c r="N537" s="327"/>
    </row>
    <row r="538" spans="2:14" x14ac:dyDescent="0.25">
      <c r="B538" s="245">
        <f>Nov!F12</f>
        <v>42312</v>
      </c>
      <c r="C538" s="35">
        <f t="shared" si="6"/>
        <v>42312</v>
      </c>
      <c r="D538" s="17" t="str">
        <f>IF(AND(VLOOKUP(B538,Nov!B:AZ,8,FALSE)&gt;0,VLOOKUP(B538,Nov!B:AZ,6,FALSE)=""), CONCATENATE(TEXT(VLOOKUP(B538,Nov!B:AZ,7,FALSE),"hh:mm"), "-", TEXT(VLOOKUP(B538,Nov!B:AZ,8,FALSE),"[hh]:mm")," Uhr ", IF(VLOOKUP(B538,Nov!B:AZ,12,FALSE)&gt;0, CONCATENATE("und ",TEXT(VLOOKUP(B538,Nov!B:AZ,12,FALSE),"hh:mm"), "-", TEXT(VLOOKUP(B538,Nov!B:AZ,13,FALSE),"[hh]:mm")," Uhr "),"")), IF(VLOOKUP(B538,Nov!B:AZ,6,FALSE)="","",VLOOKUP(VLOOKUP(B538,Nov!B:AZ,6,FALSE),Legende_Code,2,FALSE)))</f>
        <v/>
      </c>
      <c r="E538" s="16" t="str">
        <f>IF(AND(VLOOKUP(B538,Nov!B:AZ,6,FALSE)="", WEEKDAY(B538,2)=6,VLOOKUP(B538,Nov!B:AZ,48,FALSE)&gt;0),VLOOKUP(B538,Nov!B:AZ,48,FALSE)*24,"")</f>
        <v/>
      </c>
      <c r="F538" s="16" t="str">
        <f>IF(AND(VLOOKUP(B538,Nov!B:AZ,6,FALSE)="", WEEKDAY(B538,2)=7,VLOOKUP(B538,Nov!B:AZ,49,FALSE)&gt;0),VLOOKUP(B538,Nov!B:AZ,49,FALSE)*24,"")</f>
        <v/>
      </c>
      <c r="G538" s="16" t="str">
        <f>IF(AND(VLOOKUP(B538,Nov!B:AZ,6,FALSE)="",VLOOKUP(B538,Nov!B:AZ,46,FALSE)&gt;0),VLOOKUP(B538,Nov!B:AZ,46,FALSE)*24,"")</f>
        <v/>
      </c>
      <c r="H538" s="36" t="str">
        <f>IF(AND(VLOOKUP(B538,Nov!B:AZ,6,FALSE)="",VLOOKUP(B538,Nov!B:AZ,50,FALSE)&gt;0),VLOOKUP(B538,Nov!B:AZ,50,FALSE)*24,"")</f>
        <v/>
      </c>
      <c r="I538" s="30" t="str">
        <f>IF(AND(NETWORKDAYS(B538,B538,Feiertage)=1,VLOOKUP(B538,Nov!B:AZ,6,FALSE)="U"),"Urlaub","")</f>
        <v/>
      </c>
      <c r="J538" s="34" t="str">
        <f ca="1">IF(AND(VLOOKUP(B538,Nov!B:AZ,6,FALSE)="",VLOOKUP(B538,Nov!B:AZ,22,FALSE)&lt;0),"Absetzen von","")</f>
        <v/>
      </c>
      <c r="K538" s="263"/>
      <c r="M538" s="316" t="str">
        <f ca="1">IF(VLOOKUP(B538,Nov!B:AZ,22,FALSE)&lt;&gt;0,VLOOKUP(B538,Nov!B:AZ,22,FALSE),"")</f>
        <v/>
      </c>
      <c r="N538" s="327"/>
    </row>
    <row r="539" spans="2:14" x14ac:dyDescent="0.25">
      <c r="B539" s="245">
        <f>Nov!F13</f>
        <v>42313</v>
      </c>
      <c r="C539" s="35">
        <f t="shared" si="6"/>
        <v>42313</v>
      </c>
      <c r="D539" s="17" t="str">
        <f>IF(AND(VLOOKUP(B539,Nov!B:AZ,8,FALSE)&gt;0,VLOOKUP(B539,Nov!B:AZ,6,FALSE)=""), CONCATENATE(TEXT(VLOOKUP(B539,Nov!B:AZ,7,FALSE),"hh:mm"), "-", TEXT(VLOOKUP(B539,Nov!B:AZ,8,FALSE),"[hh]:mm")," Uhr ", IF(VLOOKUP(B539,Nov!B:AZ,12,FALSE)&gt;0, CONCATENATE("und ",TEXT(VLOOKUP(B539,Nov!B:AZ,12,FALSE),"hh:mm"), "-", TEXT(VLOOKUP(B539,Nov!B:AZ,13,FALSE),"[hh]:mm")," Uhr "),"")), IF(VLOOKUP(B539,Nov!B:AZ,6,FALSE)="","",VLOOKUP(VLOOKUP(B539,Nov!B:AZ,6,FALSE),Legende_Code,2,FALSE)))</f>
        <v/>
      </c>
      <c r="E539" s="16" t="str">
        <f>IF(AND(VLOOKUP(B539,Nov!B:AZ,6,FALSE)="", WEEKDAY(B539,2)=6,VLOOKUP(B539,Nov!B:AZ,48,FALSE)&gt;0),VLOOKUP(B539,Nov!B:AZ,48,FALSE)*24,"")</f>
        <v/>
      </c>
      <c r="F539" s="16" t="str">
        <f>IF(AND(VLOOKUP(B539,Nov!B:AZ,6,FALSE)="", WEEKDAY(B539,2)=7,VLOOKUP(B539,Nov!B:AZ,49,FALSE)&gt;0),VLOOKUP(B539,Nov!B:AZ,49,FALSE)*24,"")</f>
        <v/>
      </c>
      <c r="G539" s="16" t="str">
        <f>IF(AND(VLOOKUP(B539,Nov!B:AZ,6,FALSE)="",VLOOKUP(B539,Nov!B:AZ,46,FALSE)&gt;0),VLOOKUP(B539,Nov!B:AZ,46,FALSE)*24,"")</f>
        <v/>
      </c>
      <c r="H539" s="36" t="str">
        <f>IF(AND(VLOOKUP(B539,Nov!B:AZ,6,FALSE)="",VLOOKUP(B539,Nov!B:AZ,50,FALSE)&gt;0),VLOOKUP(B539,Nov!B:AZ,50,FALSE)*24,"")</f>
        <v/>
      </c>
      <c r="I539" s="30" t="str">
        <f>IF(AND(NETWORKDAYS(B539,B539,Feiertage)=1,VLOOKUP(B539,Nov!B:AZ,6,FALSE)="U"),"Urlaub","")</f>
        <v/>
      </c>
      <c r="J539" s="34" t="str">
        <f ca="1">IF(AND(VLOOKUP(B539,Nov!B:AZ,6,FALSE)="",VLOOKUP(B539,Nov!B:AZ,22,FALSE)&lt;0),"Absetzen von","")</f>
        <v/>
      </c>
      <c r="K539" s="263"/>
      <c r="M539" s="316" t="str">
        <f ca="1">IF(VLOOKUP(B539,Nov!B:AZ,22,FALSE)&lt;&gt;0,VLOOKUP(B539,Nov!B:AZ,22,FALSE),"")</f>
        <v/>
      </c>
      <c r="N539" s="327"/>
    </row>
    <row r="540" spans="2:14" x14ac:dyDescent="0.25">
      <c r="B540" s="245">
        <f>Nov!F14</f>
        <v>42314</v>
      </c>
      <c r="C540" s="35">
        <f t="shared" si="6"/>
        <v>42314</v>
      </c>
      <c r="D540" s="17" t="str">
        <f>IF(AND(VLOOKUP(B540,Nov!B:AZ,8,FALSE)&gt;0,VLOOKUP(B540,Nov!B:AZ,6,FALSE)=""), CONCATENATE(TEXT(VLOOKUP(B540,Nov!B:AZ,7,FALSE),"hh:mm"), "-", TEXT(VLOOKUP(B540,Nov!B:AZ,8,FALSE),"[hh]:mm")," Uhr ", IF(VLOOKUP(B540,Nov!B:AZ,12,FALSE)&gt;0, CONCATENATE("und ",TEXT(VLOOKUP(B540,Nov!B:AZ,12,FALSE),"hh:mm"), "-", TEXT(VLOOKUP(B540,Nov!B:AZ,13,FALSE),"[hh]:mm")," Uhr "),"")), IF(VLOOKUP(B540,Nov!B:AZ,6,FALSE)="","",VLOOKUP(VLOOKUP(B540,Nov!B:AZ,6,FALSE),Legende_Code,2,FALSE)))</f>
        <v/>
      </c>
      <c r="E540" s="16" t="str">
        <f>IF(AND(VLOOKUP(B540,Nov!B:AZ,6,FALSE)="", WEEKDAY(B540,2)=6,VLOOKUP(B540,Nov!B:AZ,48,FALSE)&gt;0),VLOOKUP(B540,Nov!B:AZ,48,FALSE)*24,"")</f>
        <v/>
      </c>
      <c r="F540" s="16" t="str">
        <f>IF(AND(VLOOKUP(B540,Nov!B:AZ,6,FALSE)="", WEEKDAY(B540,2)=7,VLOOKUP(B540,Nov!B:AZ,49,FALSE)&gt;0),VLOOKUP(B540,Nov!B:AZ,49,FALSE)*24,"")</f>
        <v/>
      </c>
      <c r="G540" s="16" t="str">
        <f>IF(AND(VLOOKUP(B540,Nov!B:AZ,6,FALSE)="",VLOOKUP(B540,Nov!B:AZ,46,FALSE)&gt;0),VLOOKUP(B540,Nov!B:AZ,46,FALSE)*24,"")</f>
        <v/>
      </c>
      <c r="H540" s="36" t="str">
        <f>IF(AND(VLOOKUP(B540,Nov!B:AZ,6,FALSE)="",VLOOKUP(B540,Nov!B:AZ,50,FALSE)&gt;0),VLOOKUP(B540,Nov!B:AZ,50,FALSE)*24,"")</f>
        <v/>
      </c>
      <c r="I540" s="30" t="str">
        <f>IF(AND(NETWORKDAYS(B540,B540,Feiertage)=1,VLOOKUP(B540,Nov!B:AZ,6,FALSE)="U"),"Urlaub","")</f>
        <v/>
      </c>
      <c r="J540" s="34" t="str">
        <f ca="1">IF(AND(VLOOKUP(B540,Nov!B:AZ,6,FALSE)="",VLOOKUP(B540,Nov!B:AZ,22,FALSE)&lt;0),"Absetzen von","")</f>
        <v/>
      </c>
      <c r="K540" s="263"/>
      <c r="M540" s="316" t="str">
        <f ca="1">IF(VLOOKUP(B540,Nov!B:AZ,22,FALSE)&lt;&gt;0,VLOOKUP(B540,Nov!B:AZ,22,FALSE),"")</f>
        <v/>
      </c>
      <c r="N540" s="327"/>
    </row>
    <row r="541" spans="2:14" x14ac:dyDescent="0.25">
      <c r="B541" s="245">
        <f>Nov!F15</f>
        <v>42315</v>
      </c>
      <c r="C541" s="35">
        <f t="shared" si="6"/>
        <v>42315</v>
      </c>
      <c r="D541" s="17" t="str">
        <f>IF(AND(VLOOKUP(B541,Nov!B:AZ,8,FALSE)&gt;0,VLOOKUP(B541,Nov!B:AZ,6,FALSE)=""), CONCATENATE(TEXT(VLOOKUP(B541,Nov!B:AZ,7,FALSE),"hh:mm"), "-", TEXT(VLOOKUP(B541,Nov!B:AZ,8,FALSE),"[hh]:mm")," Uhr ", IF(VLOOKUP(B541,Nov!B:AZ,12,FALSE)&gt;0, CONCATENATE("und ",TEXT(VLOOKUP(B541,Nov!B:AZ,12,FALSE),"hh:mm"), "-", TEXT(VLOOKUP(B541,Nov!B:AZ,13,FALSE),"[hh]:mm")," Uhr "),"")), IF(VLOOKUP(B541,Nov!B:AZ,6,FALSE)="","",VLOOKUP(VLOOKUP(B541,Nov!B:AZ,6,FALSE),Legende_Code,2,FALSE)))</f>
        <v/>
      </c>
      <c r="E541" s="16" t="str">
        <f>IF(AND(VLOOKUP(B541,Nov!B:AZ,6,FALSE)="", WEEKDAY(B541,2)=6,VLOOKUP(B541,Nov!B:AZ,48,FALSE)&gt;0),VLOOKUP(B541,Nov!B:AZ,48,FALSE)*24,"")</f>
        <v/>
      </c>
      <c r="F541" s="16" t="str">
        <f>IF(AND(VLOOKUP(B541,Nov!B:AZ,6,FALSE)="", WEEKDAY(B541,2)=7,VLOOKUP(B541,Nov!B:AZ,49,FALSE)&gt;0),VLOOKUP(B541,Nov!B:AZ,49,FALSE)*24,"")</f>
        <v/>
      </c>
      <c r="G541" s="16" t="str">
        <f>IF(AND(VLOOKUP(B541,Nov!B:AZ,6,FALSE)="",VLOOKUP(B541,Nov!B:AZ,46,FALSE)&gt;0),VLOOKUP(B541,Nov!B:AZ,46,FALSE)*24,"")</f>
        <v/>
      </c>
      <c r="H541" s="36" t="str">
        <f>IF(AND(VLOOKUP(B541,Nov!B:AZ,6,FALSE)="",VLOOKUP(B541,Nov!B:AZ,50,FALSE)&gt;0),VLOOKUP(B541,Nov!B:AZ,50,FALSE)*24,"")</f>
        <v/>
      </c>
      <c r="I541" s="30" t="str">
        <f>IF(AND(NETWORKDAYS(B541,B541,Feiertage)=1,VLOOKUP(B541,Nov!B:AZ,6,FALSE)="U"),"Urlaub","")</f>
        <v/>
      </c>
      <c r="J541" s="34" t="str">
        <f ca="1">IF(AND(VLOOKUP(B541,Nov!B:AZ,6,FALSE)="",VLOOKUP(B541,Nov!B:AZ,22,FALSE)&lt;0),"Absetzen von","")</f>
        <v/>
      </c>
      <c r="K541" s="263"/>
      <c r="M541" s="316" t="str">
        <f ca="1">IF(VLOOKUP(B541,Nov!B:AZ,22,FALSE)&lt;&gt;0,VLOOKUP(B541,Nov!B:AZ,22,FALSE),"")</f>
        <v/>
      </c>
      <c r="N541" s="327"/>
    </row>
    <row r="542" spans="2:14" x14ac:dyDescent="0.25">
      <c r="B542" s="245">
        <f>Nov!F16</f>
        <v>42316</v>
      </c>
      <c r="C542" s="35">
        <f t="shared" si="6"/>
        <v>42316</v>
      </c>
      <c r="D542" s="17" t="str">
        <f>IF(AND(VLOOKUP(B542,Nov!B:AZ,8,FALSE)&gt;0,VLOOKUP(B542,Nov!B:AZ,6,FALSE)=""), CONCATENATE(TEXT(VLOOKUP(B542,Nov!B:AZ,7,FALSE),"hh:mm"), "-", TEXT(VLOOKUP(B542,Nov!B:AZ,8,FALSE),"[hh]:mm")," Uhr ", IF(VLOOKUP(B542,Nov!B:AZ,12,FALSE)&gt;0, CONCATENATE("und ",TEXT(VLOOKUP(B542,Nov!B:AZ,12,FALSE),"hh:mm"), "-", TEXT(VLOOKUP(B542,Nov!B:AZ,13,FALSE),"[hh]:mm")," Uhr "),"")), IF(VLOOKUP(B542,Nov!B:AZ,6,FALSE)="","",VLOOKUP(VLOOKUP(B542,Nov!B:AZ,6,FALSE),Legende_Code,2,FALSE)))</f>
        <v/>
      </c>
      <c r="E542" s="16" t="str">
        <f>IF(AND(VLOOKUP(B542,Nov!B:AZ,6,FALSE)="", WEEKDAY(B542,2)=6,VLOOKUP(B542,Nov!B:AZ,48,FALSE)&gt;0),VLOOKUP(B542,Nov!B:AZ,48,FALSE)*24,"")</f>
        <v/>
      </c>
      <c r="F542" s="16" t="str">
        <f>IF(AND(VLOOKUP(B542,Nov!B:AZ,6,FALSE)="", WEEKDAY(B542,2)=7,VLOOKUP(B542,Nov!B:AZ,49,FALSE)&gt;0),VLOOKUP(B542,Nov!B:AZ,49,FALSE)*24,"")</f>
        <v/>
      </c>
      <c r="G542" s="16" t="str">
        <f>IF(AND(VLOOKUP(B542,Nov!B:AZ,6,FALSE)="",VLOOKUP(B542,Nov!B:AZ,46,FALSE)&gt;0),VLOOKUP(B542,Nov!B:AZ,46,FALSE)*24,"")</f>
        <v/>
      </c>
      <c r="H542" s="36" t="str">
        <f>IF(AND(VLOOKUP(B542,Nov!B:AZ,6,FALSE)="",VLOOKUP(B542,Nov!B:AZ,50,FALSE)&gt;0),VLOOKUP(B542,Nov!B:AZ,50,FALSE)*24,"")</f>
        <v/>
      </c>
      <c r="I542" s="30" t="str">
        <f>IF(AND(NETWORKDAYS(B542,B542,Feiertage)=1,VLOOKUP(B542,Nov!B:AZ,6,FALSE)="U"),"Urlaub","")</f>
        <v/>
      </c>
      <c r="J542" s="34" t="str">
        <f ca="1">IF(AND(VLOOKUP(B542,Nov!B:AZ,6,FALSE)="",VLOOKUP(B542,Nov!B:AZ,22,FALSE)&lt;0),"Absetzen von","")</f>
        <v/>
      </c>
      <c r="K542" s="263"/>
      <c r="M542" s="316" t="str">
        <f ca="1">IF(VLOOKUP(B542,Nov!B:AZ,22,FALSE)&lt;&gt;0,VLOOKUP(B542,Nov!B:AZ,22,FALSE),"")</f>
        <v/>
      </c>
      <c r="N542" s="327"/>
    </row>
    <row r="543" spans="2:14" x14ac:dyDescent="0.25">
      <c r="B543" s="245">
        <f>Nov!F17</f>
        <v>42317</v>
      </c>
      <c r="C543" s="35">
        <f t="shared" si="6"/>
        <v>42317</v>
      </c>
      <c r="D543" s="17" t="str">
        <f>IF(AND(VLOOKUP(B543,Nov!B:AZ,8,FALSE)&gt;0,VLOOKUP(B543,Nov!B:AZ,6,FALSE)=""), CONCATENATE(TEXT(VLOOKUP(B543,Nov!B:AZ,7,FALSE),"hh:mm"), "-", TEXT(VLOOKUP(B543,Nov!B:AZ,8,FALSE),"[hh]:mm")," Uhr ", IF(VLOOKUP(B543,Nov!B:AZ,12,FALSE)&gt;0, CONCATENATE("und ",TEXT(VLOOKUP(B543,Nov!B:AZ,12,FALSE),"hh:mm"), "-", TEXT(VLOOKUP(B543,Nov!B:AZ,13,FALSE),"[hh]:mm")," Uhr "),"")), IF(VLOOKUP(B543,Nov!B:AZ,6,FALSE)="","",VLOOKUP(VLOOKUP(B543,Nov!B:AZ,6,FALSE),Legende_Code,2,FALSE)))</f>
        <v/>
      </c>
      <c r="E543" s="16" t="str">
        <f>IF(AND(VLOOKUP(B543,Nov!B:AZ,6,FALSE)="", WEEKDAY(B543,2)=6,VLOOKUP(B543,Nov!B:AZ,48,FALSE)&gt;0),VLOOKUP(B543,Nov!B:AZ,48,FALSE)*24,"")</f>
        <v/>
      </c>
      <c r="F543" s="16" t="str">
        <f>IF(AND(VLOOKUP(B543,Nov!B:AZ,6,FALSE)="", WEEKDAY(B543,2)=7,VLOOKUP(B543,Nov!B:AZ,49,FALSE)&gt;0),VLOOKUP(B543,Nov!B:AZ,49,FALSE)*24,"")</f>
        <v/>
      </c>
      <c r="G543" s="16" t="str">
        <f>IF(AND(VLOOKUP(B543,Nov!B:AZ,6,FALSE)="",VLOOKUP(B543,Nov!B:AZ,46,FALSE)&gt;0),VLOOKUP(B543,Nov!B:AZ,46,FALSE)*24,"")</f>
        <v/>
      </c>
      <c r="H543" s="36" t="str">
        <f>IF(AND(VLOOKUP(B543,Nov!B:AZ,6,FALSE)="",VLOOKUP(B543,Nov!B:AZ,50,FALSE)&gt;0),VLOOKUP(B543,Nov!B:AZ,50,FALSE)*24,"")</f>
        <v/>
      </c>
      <c r="I543" s="30" t="str">
        <f>IF(AND(NETWORKDAYS(B543,B543,Feiertage)=1,VLOOKUP(B543,Nov!B:AZ,6,FALSE)="U"),"Urlaub","")</f>
        <v/>
      </c>
      <c r="J543" s="34" t="str">
        <f ca="1">IF(AND(VLOOKUP(B543,Nov!B:AZ,6,FALSE)="",VLOOKUP(B543,Nov!B:AZ,22,FALSE)&lt;0),"Absetzen von","")</f>
        <v/>
      </c>
      <c r="K543" s="263"/>
      <c r="M543" s="316" t="str">
        <f ca="1">IF(VLOOKUP(B543,Nov!B:AZ,22,FALSE)&lt;&gt;0,VLOOKUP(B543,Nov!B:AZ,22,FALSE),"")</f>
        <v/>
      </c>
      <c r="N543" s="327"/>
    </row>
    <row r="544" spans="2:14" x14ac:dyDescent="0.25">
      <c r="B544" s="245">
        <f>Nov!F18</f>
        <v>42318</v>
      </c>
      <c r="C544" s="35">
        <f t="shared" si="6"/>
        <v>42318</v>
      </c>
      <c r="D544" s="17" t="str">
        <f>IF(AND(VLOOKUP(B544,Nov!B:AZ,8,FALSE)&gt;0,VLOOKUP(B544,Nov!B:AZ,6,FALSE)=""), CONCATENATE(TEXT(VLOOKUP(B544,Nov!B:AZ,7,FALSE),"hh:mm"), "-", TEXT(VLOOKUP(B544,Nov!B:AZ,8,FALSE),"[hh]:mm")," Uhr ", IF(VLOOKUP(B544,Nov!B:AZ,12,FALSE)&gt;0, CONCATENATE("und ",TEXT(VLOOKUP(B544,Nov!B:AZ,12,FALSE),"hh:mm"), "-", TEXT(VLOOKUP(B544,Nov!B:AZ,13,FALSE),"[hh]:mm")," Uhr "),"")), IF(VLOOKUP(B544,Nov!B:AZ,6,FALSE)="","",VLOOKUP(VLOOKUP(B544,Nov!B:AZ,6,FALSE),Legende_Code,2,FALSE)))</f>
        <v/>
      </c>
      <c r="E544" s="16" t="str">
        <f>IF(AND(VLOOKUP(B544,Nov!B:AZ,6,FALSE)="", WEEKDAY(B544,2)=6,VLOOKUP(B544,Nov!B:AZ,48,FALSE)&gt;0),VLOOKUP(B544,Nov!B:AZ,48,FALSE)*24,"")</f>
        <v/>
      </c>
      <c r="F544" s="16" t="str">
        <f>IF(AND(VLOOKUP(B544,Nov!B:AZ,6,FALSE)="", WEEKDAY(B544,2)=7,VLOOKUP(B544,Nov!B:AZ,49,FALSE)&gt;0),VLOOKUP(B544,Nov!B:AZ,49,FALSE)*24,"")</f>
        <v/>
      </c>
      <c r="G544" s="16" t="str">
        <f>IF(AND(VLOOKUP(B544,Nov!B:AZ,6,FALSE)="",VLOOKUP(B544,Nov!B:AZ,46,FALSE)&gt;0),VLOOKUP(B544,Nov!B:AZ,46,FALSE)*24,"")</f>
        <v/>
      </c>
      <c r="H544" s="36" t="str">
        <f>IF(AND(VLOOKUP(B544,Nov!B:AZ,6,FALSE)="",VLOOKUP(B544,Nov!B:AZ,50,FALSE)&gt;0),VLOOKUP(B544,Nov!B:AZ,50,FALSE)*24,"")</f>
        <v/>
      </c>
      <c r="I544" s="30" t="str">
        <f>IF(AND(NETWORKDAYS(B544,B544,Feiertage)=1,VLOOKUP(B544,Nov!B:AZ,6,FALSE)="U"),"Urlaub","")</f>
        <v/>
      </c>
      <c r="J544" s="34" t="str">
        <f ca="1">IF(AND(VLOOKUP(B544,Nov!B:AZ,6,FALSE)="",VLOOKUP(B544,Nov!B:AZ,22,FALSE)&lt;0),"Absetzen von","")</f>
        <v/>
      </c>
      <c r="K544" s="263"/>
      <c r="M544" s="316" t="str">
        <f ca="1">IF(VLOOKUP(B544,Nov!B:AZ,22,FALSE)&lt;&gt;0,VLOOKUP(B544,Nov!B:AZ,22,FALSE),"")</f>
        <v/>
      </c>
      <c r="N544" s="327"/>
    </row>
    <row r="545" spans="2:14" x14ac:dyDescent="0.25">
      <c r="B545" s="245">
        <f>Nov!F19</f>
        <v>42319</v>
      </c>
      <c r="C545" s="35">
        <f t="shared" si="6"/>
        <v>42319</v>
      </c>
      <c r="D545" s="17" t="str">
        <f>IF(AND(VLOOKUP(B545,Nov!B:AZ,8,FALSE)&gt;0,VLOOKUP(B545,Nov!B:AZ,6,FALSE)=""), CONCATENATE(TEXT(VLOOKUP(B545,Nov!B:AZ,7,FALSE),"hh:mm"), "-", TEXT(VLOOKUP(B545,Nov!B:AZ,8,FALSE),"[hh]:mm")," Uhr ", IF(VLOOKUP(B545,Nov!B:AZ,12,FALSE)&gt;0, CONCATENATE("und ",TEXT(VLOOKUP(B545,Nov!B:AZ,12,FALSE),"hh:mm"), "-", TEXT(VLOOKUP(B545,Nov!B:AZ,13,FALSE),"[hh]:mm")," Uhr "),"")), IF(VLOOKUP(B545,Nov!B:AZ,6,FALSE)="","",VLOOKUP(VLOOKUP(B545,Nov!B:AZ,6,FALSE),Legende_Code,2,FALSE)))</f>
        <v/>
      </c>
      <c r="E545" s="16" t="str">
        <f>IF(AND(VLOOKUP(B545,Nov!B:AZ,6,FALSE)="", WEEKDAY(B545,2)=6,VLOOKUP(B545,Nov!B:AZ,48,FALSE)&gt;0),VLOOKUP(B545,Nov!B:AZ,48,FALSE)*24,"")</f>
        <v/>
      </c>
      <c r="F545" s="16" t="str">
        <f>IF(AND(VLOOKUP(B545,Nov!B:AZ,6,FALSE)="", WEEKDAY(B545,2)=7,VLOOKUP(B545,Nov!B:AZ,49,FALSE)&gt;0),VLOOKUP(B545,Nov!B:AZ,49,FALSE)*24,"")</f>
        <v/>
      </c>
      <c r="G545" s="16" t="str">
        <f>IF(AND(VLOOKUP(B545,Nov!B:AZ,6,FALSE)="",VLOOKUP(B545,Nov!B:AZ,46,FALSE)&gt;0),VLOOKUP(B545,Nov!B:AZ,46,FALSE)*24,"")</f>
        <v/>
      </c>
      <c r="H545" s="36" t="str">
        <f>IF(AND(VLOOKUP(B545,Nov!B:AZ,6,FALSE)="",VLOOKUP(B545,Nov!B:AZ,50,FALSE)&gt;0),VLOOKUP(B545,Nov!B:AZ,50,FALSE)*24,"")</f>
        <v/>
      </c>
      <c r="I545" s="30" t="str">
        <f>IF(AND(NETWORKDAYS(B545,B545,Feiertage)=1,VLOOKUP(B545,Nov!B:AZ,6,FALSE)="U"),"Urlaub","")</f>
        <v/>
      </c>
      <c r="J545" s="34" t="str">
        <f ca="1">IF(AND(VLOOKUP(B545,Nov!B:AZ,6,FALSE)="",VLOOKUP(B545,Nov!B:AZ,22,FALSE)&lt;0),"Absetzen von","")</f>
        <v/>
      </c>
      <c r="K545" s="263"/>
      <c r="M545" s="316" t="str">
        <f ca="1">IF(VLOOKUP(B545,Nov!B:AZ,22,FALSE)&lt;&gt;0,VLOOKUP(B545,Nov!B:AZ,22,FALSE),"")</f>
        <v/>
      </c>
      <c r="N545" s="327"/>
    </row>
    <row r="546" spans="2:14" x14ac:dyDescent="0.25">
      <c r="B546" s="245">
        <f>Nov!F20</f>
        <v>42320</v>
      </c>
      <c r="C546" s="35">
        <f t="shared" si="6"/>
        <v>42320</v>
      </c>
      <c r="D546" s="17" t="str">
        <f>IF(AND(VLOOKUP(B546,Nov!B:AZ,8,FALSE)&gt;0,VLOOKUP(B546,Nov!B:AZ,6,FALSE)=""), CONCATENATE(TEXT(VLOOKUP(B546,Nov!B:AZ,7,FALSE),"hh:mm"), "-", TEXT(VLOOKUP(B546,Nov!B:AZ,8,FALSE),"[hh]:mm")," Uhr ", IF(VLOOKUP(B546,Nov!B:AZ,12,FALSE)&gt;0, CONCATENATE("und ",TEXT(VLOOKUP(B546,Nov!B:AZ,12,FALSE),"hh:mm"), "-", TEXT(VLOOKUP(B546,Nov!B:AZ,13,FALSE),"[hh]:mm")," Uhr "),"")), IF(VLOOKUP(B546,Nov!B:AZ,6,FALSE)="","",VLOOKUP(VLOOKUP(B546,Nov!B:AZ,6,FALSE),Legende_Code,2,FALSE)))</f>
        <v/>
      </c>
      <c r="E546" s="16" t="str">
        <f>IF(AND(VLOOKUP(B546,Nov!B:AZ,6,FALSE)="", WEEKDAY(B546,2)=6,VLOOKUP(B546,Nov!B:AZ,48,FALSE)&gt;0),VLOOKUP(B546,Nov!B:AZ,48,FALSE)*24,"")</f>
        <v/>
      </c>
      <c r="F546" s="16" t="str">
        <f>IF(AND(VLOOKUP(B546,Nov!B:AZ,6,FALSE)="", WEEKDAY(B546,2)=7,VLOOKUP(B546,Nov!B:AZ,49,FALSE)&gt;0),VLOOKUP(B546,Nov!B:AZ,49,FALSE)*24,"")</f>
        <v/>
      </c>
      <c r="G546" s="16" t="str">
        <f>IF(AND(VLOOKUP(B546,Nov!B:AZ,6,FALSE)="",VLOOKUP(B546,Nov!B:AZ,46,FALSE)&gt;0),VLOOKUP(B546,Nov!B:AZ,46,FALSE)*24,"")</f>
        <v/>
      </c>
      <c r="H546" s="36" t="str">
        <f>IF(AND(VLOOKUP(B546,Nov!B:AZ,6,FALSE)="",VLOOKUP(B546,Nov!B:AZ,50,FALSE)&gt;0),VLOOKUP(B546,Nov!B:AZ,50,FALSE)*24,"")</f>
        <v/>
      </c>
      <c r="I546" s="30" t="str">
        <f>IF(AND(NETWORKDAYS(B546,B546,Feiertage)=1,VLOOKUP(B546,Nov!B:AZ,6,FALSE)="U"),"Urlaub","")</f>
        <v/>
      </c>
      <c r="J546" s="34" t="str">
        <f ca="1">IF(AND(VLOOKUP(B546,Nov!B:AZ,6,FALSE)="",VLOOKUP(B546,Nov!B:AZ,22,FALSE)&lt;0),"Absetzen von","")</f>
        <v/>
      </c>
      <c r="K546" s="263"/>
      <c r="M546" s="316" t="str">
        <f ca="1">IF(VLOOKUP(B546,Nov!B:AZ,22,FALSE)&lt;&gt;0,VLOOKUP(B546,Nov!B:AZ,22,FALSE),"")</f>
        <v/>
      </c>
      <c r="N546" s="327"/>
    </row>
    <row r="547" spans="2:14" x14ac:dyDescent="0.25">
      <c r="B547" s="245">
        <f>Nov!F21</f>
        <v>42321</v>
      </c>
      <c r="C547" s="35">
        <f t="shared" si="6"/>
        <v>42321</v>
      </c>
      <c r="D547" s="17" t="str">
        <f>IF(AND(VLOOKUP(B547,Nov!B:AZ,8,FALSE)&gt;0,VLOOKUP(B547,Nov!B:AZ,6,FALSE)=""), CONCATENATE(TEXT(VLOOKUP(B547,Nov!B:AZ,7,FALSE),"hh:mm"), "-", TEXT(VLOOKUP(B547,Nov!B:AZ,8,FALSE),"[hh]:mm")," Uhr ", IF(VLOOKUP(B547,Nov!B:AZ,12,FALSE)&gt;0, CONCATENATE("und ",TEXT(VLOOKUP(B547,Nov!B:AZ,12,FALSE),"hh:mm"), "-", TEXT(VLOOKUP(B547,Nov!B:AZ,13,FALSE),"[hh]:mm")," Uhr "),"")), IF(VLOOKUP(B547,Nov!B:AZ,6,FALSE)="","",VLOOKUP(VLOOKUP(B547,Nov!B:AZ,6,FALSE),Legende_Code,2,FALSE)))</f>
        <v/>
      </c>
      <c r="E547" s="16" t="str">
        <f>IF(AND(VLOOKUP(B547,Nov!B:AZ,6,FALSE)="", WEEKDAY(B547,2)=6,VLOOKUP(B547,Nov!B:AZ,48,FALSE)&gt;0),VLOOKUP(B547,Nov!B:AZ,48,FALSE)*24,"")</f>
        <v/>
      </c>
      <c r="F547" s="16" t="str">
        <f>IF(AND(VLOOKUP(B547,Nov!B:AZ,6,FALSE)="", WEEKDAY(B547,2)=7,VLOOKUP(B547,Nov!B:AZ,49,FALSE)&gt;0),VLOOKUP(B547,Nov!B:AZ,49,FALSE)*24,"")</f>
        <v/>
      </c>
      <c r="G547" s="16" t="str">
        <f>IF(AND(VLOOKUP(B547,Nov!B:AZ,6,FALSE)="",VLOOKUP(B547,Nov!B:AZ,46,FALSE)&gt;0),VLOOKUP(B547,Nov!B:AZ,46,FALSE)*24,"")</f>
        <v/>
      </c>
      <c r="H547" s="36" t="str">
        <f>IF(AND(VLOOKUP(B547,Nov!B:AZ,6,FALSE)="",VLOOKUP(B547,Nov!B:AZ,50,FALSE)&gt;0),VLOOKUP(B547,Nov!B:AZ,50,FALSE)*24,"")</f>
        <v/>
      </c>
      <c r="I547" s="30" t="str">
        <f>IF(AND(NETWORKDAYS(B547,B547,Feiertage)=1,VLOOKUP(B547,Nov!B:AZ,6,FALSE)="U"),"Urlaub","")</f>
        <v/>
      </c>
      <c r="J547" s="34" t="str">
        <f ca="1">IF(AND(VLOOKUP(B547,Nov!B:AZ,6,FALSE)="",VLOOKUP(B547,Nov!B:AZ,22,FALSE)&lt;0),"Absetzen von","")</f>
        <v/>
      </c>
      <c r="K547" s="263"/>
      <c r="M547" s="316" t="str">
        <f ca="1">IF(VLOOKUP(B547,Nov!B:AZ,22,FALSE)&lt;&gt;0,VLOOKUP(B547,Nov!B:AZ,22,FALSE),"")</f>
        <v/>
      </c>
      <c r="N547" s="327"/>
    </row>
    <row r="548" spans="2:14" x14ac:dyDescent="0.25">
      <c r="B548" s="245">
        <f>Nov!F22</f>
        <v>42322</v>
      </c>
      <c r="C548" s="35">
        <f t="shared" si="6"/>
        <v>42322</v>
      </c>
      <c r="D548" s="17" t="str">
        <f>IF(AND(VLOOKUP(B548,Nov!B:AZ,8,FALSE)&gt;0,VLOOKUP(B548,Nov!B:AZ,6,FALSE)=""), CONCATENATE(TEXT(VLOOKUP(B548,Nov!B:AZ,7,FALSE),"hh:mm"), "-", TEXT(VLOOKUP(B548,Nov!B:AZ,8,FALSE),"[hh]:mm")," Uhr ", IF(VLOOKUP(B548,Nov!B:AZ,12,FALSE)&gt;0, CONCATENATE("und ",TEXT(VLOOKUP(B548,Nov!B:AZ,12,FALSE),"hh:mm"), "-", TEXT(VLOOKUP(B548,Nov!B:AZ,13,FALSE),"[hh]:mm")," Uhr "),"")), IF(VLOOKUP(B548,Nov!B:AZ,6,FALSE)="","",VLOOKUP(VLOOKUP(B548,Nov!B:AZ,6,FALSE),Legende_Code,2,FALSE)))</f>
        <v/>
      </c>
      <c r="E548" s="16" t="str">
        <f>IF(AND(VLOOKUP(B548,Nov!B:AZ,6,FALSE)="", WEEKDAY(B548,2)=6,VLOOKUP(B548,Nov!B:AZ,48,FALSE)&gt;0),VLOOKUP(B548,Nov!B:AZ,48,FALSE)*24,"")</f>
        <v/>
      </c>
      <c r="F548" s="16" t="str">
        <f>IF(AND(VLOOKUP(B548,Nov!B:AZ,6,FALSE)="", WEEKDAY(B548,2)=7,VLOOKUP(B548,Nov!B:AZ,49,FALSE)&gt;0),VLOOKUP(B548,Nov!B:AZ,49,FALSE)*24,"")</f>
        <v/>
      </c>
      <c r="G548" s="16" t="str">
        <f>IF(AND(VLOOKUP(B548,Nov!B:AZ,6,FALSE)="",VLOOKUP(B548,Nov!B:AZ,46,FALSE)&gt;0),VLOOKUP(B548,Nov!B:AZ,46,FALSE)*24,"")</f>
        <v/>
      </c>
      <c r="H548" s="36" t="str">
        <f>IF(AND(VLOOKUP(B548,Nov!B:AZ,6,FALSE)="",VLOOKUP(B548,Nov!B:AZ,50,FALSE)&gt;0),VLOOKUP(B548,Nov!B:AZ,50,FALSE)*24,"")</f>
        <v/>
      </c>
      <c r="I548" s="30" t="str">
        <f>IF(AND(NETWORKDAYS(B548,B548,Feiertage)=1,VLOOKUP(B548,Nov!B:AZ,6,FALSE)="U"),"Urlaub","")</f>
        <v/>
      </c>
      <c r="J548" s="34" t="str">
        <f ca="1">IF(AND(VLOOKUP(B548,Nov!B:AZ,6,FALSE)="",VLOOKUP(B548,Nov!B:AZ,22,FALSE)&lt;0),"Absetzen von","")</f>
        <v/>
      </c>
      <c r="K548" s="263"/>
      <c r="M548" s="316" t="str">
        <f ca="1">IF(VLOOKUP(B548,Nov!B:AZ,22,FALSE)&lt;&gt;0,VLOOKUP(B548,Nov!B:AZ,22,FALSE),"")</f>
        <v/>
      </c>
      <c r="N548" s="327"/>
    </row>
    <row r="549" spans="2:14" x14ac:dyDescent="0.25">
      <c r="B549" s="245">
        <f>Nov!F23</f>
        <v>42323</v>
      </c>
      <c r="C549" s="35">
        <f t="shared" si="6"/>
        <v>42323</v>
      </c>
      <c r="D549" s="17" t="str">
        <f>IF(AND(VLOOKUP(B549,Nov!B:AZ,8,FALSE)&gt;0,VLOOKUP(B549,Nov!B:AZ,6,FALSE)=""), CONCATENATE(TEXT(VLOOKUP(B549,Nov!B:AZ,7,FALSE),"hh:mm"), "-", TEXT(VLOOKUP(B549,Nov!B:AZ,8,FALSE),"[hh]:mm")," Uhr ", IF(VLOOKUP(B549,Nov!B:AZ,12,FALSE)&gt;0, CONCATENATE("und ",TEXT(VLOOKUP(B549,Nov!B:AZ,12,FALSE),"hh:mm"), "-", TEXT(VLOOKUP(B549,Nov!B:AZ,13,FALSE),"[hh]:mm")," Uhr "),"")), IF(VLOOKUP(B549,Nov!B:AZ,6,FALSE)="","",VLOOKUP(VLOOKUP(B549,Nov!B:AZ,6,FALSE),Legende_Code,2,FALSE)))</f>
        <v/>
      </c>
      <c r="E549" s="16" t="str">
        <f>IF(AND(VLOOKUP(B549,Nov!B:AZ,6,FALSE)="", WEEKDAY(B549,2)=6,VLOOKUP(B549,Nov!B:AZ,48,FALSE)&gt;0),VLOOKUP(B549,Nov!B:AZ,48,FALSE)*24,"")</f>
        <v/>
      </c>
      <c r="F549" s="16" t="str">
        <f>IF(AND(VLOOKUP(B549,Nov!B:AZ,6,FALSE)="", WEEKDAY(B549,2)=7,VLOOKUP(B549,Nov!B:AZ,49,FALSE)&gt;0),VLOOKUP(B549,Nov!B:AZ,49,FALSE)*24,"")</f>
        <v/>
      </c>
      <c r="G549" s="16" t="str">
        <f>IF(AND(VLOOKUP(B549,Nov!B:AZ,6,FALSE)="",VLOOKUP(B549,Nov!B:AZ,46,FALSE)&gt;0),VLOOKUP(B549,Nov!B:AZ,46,FALSE)*24,"")</f>
        <v/>
      </c>
      <c r="H549" s="36" t="str">
        <f>IF(AND(VLOOKUP(B549,Nov!B:AZ,6,FALSE)="",VLOOKUP(B549,Nov!B:AZ,50,FALSE)&gt;0),VLOOKUP(B549,Nov!B:AZ,50,FALSE)*24,"")</f>
        <v/>
      </c>
      <c r="I549" s="30" t="str">
        <f>IF(AND(NETWORKDAYS(B549,B549,Feiertage)=1,VLOOKUP(B549,Nov!B:AZ,6,FALSE)="U"),"Urlaub","")</f>
        <v/>
      </c>
      <c r="J549" s="34" t="str">
        <f ca="1">IF(AND(VLOOKUP(B549,Nov!B:AZ,6,FALSE)="",VLOOKUP(B549,Nov!B:AZ,22,FALSE)&lt;0),"Absetzen von","")</f>
        <v/>
      </c>
      <c r="K549" s="263"/>
      <c r="M549" s="316" t="str">
        <f ca="1">IF(VLOOKUP(B549,Nov!B:AZ,22,FALSE)&lt;&gt;0,VLOOKUP(B549,Nov!B:AZ,22,FALSE),"")</f>
        <v/>
      </c>
      <c r="N549" s="327"/>
    </row>
    <row r="550" spans="2:14" x14ac:dyDescent="0.25">
      <c r="B550" s="245">
        <f>Nov!F24</f>
        <v>42324</v>
      </c>
      <c r="C550" s="35">
        <f t="shared" si="6"/>
        <v>42324</v>
      </c>
      <c r="D550" s="17" t="str">
        <f>IF(AND(VLOOKUP(B550,Nov!B:AZ,8,FALSE)&gt;0,VLOOKUP(B550,Nov!B:AZ,6,FALSE)=""), CONCATENATE(TEXT(VLOOKUP(B550,Nov!B:AZ,7,FALSE),"hh:mm"), "-", TEXT(VLOOKUP(B550,Nov!B:AZ,8,FALSE),"[hh]:mm")," Uhr ", IF(VLOOKUP(B550,Nov!B:AZ,12,FALSE)&gt;0, CONCATENATE("und ",TEXT(VLOOKUP(B550,Nov!B:AZ,12,FALSE),"hh:mm"), "-", TEXT(VLOOKUP(B550,Nov!B:AZ,13,FALSE),"[hh]:mm")," Uhr "),"")), IF(VLOOKUP(B550,Nov!B:AZ,6,FALSE)="","",VLOOKUP(VLOOKUP(B550,Nov!B:AZ,6,FALSE),Legende_Code,2,FALSE)))</f>
        <v/>
      </c>
      <c r="E550" s="16" t="str">
        <f>IF(AND(VLOOKUP(B550,Nov!B:AZ,6,FALSE)="", WEEKDAY(B550,2)=6,VLOOKUP(B550,Nov!B:AZ,48,FALSE)&gt;0),VLOOKUP(B550,Nov!B:AZ,48,FALSE)*24,"")</f>
        <v/>
      </c>
      <c r="F550" s="16" t="str">
        <f>IF(AND(VLOOKUP(B550,Nov!B:AZ,6,FALSE)="", WEEKDAY(B550,2)=7,VLOOKUP(B550,Nov!B:AZ,49,FALSE)&gt;0),VLOOKUP(B550,Nov!B:AZ,49,FALSE)*24,"")</f>
        <v/>
      </c>
      <c r="G550" s="16" t="str">
        <f>IF(AND(VLOOKUP(B550,Nov!B:AZ,6,FALSE)="",VLOOKUP(B550,Nov!B:AZ,46,FALSE)&gt;0),VLOOKUP(B550,Nov!B:AZ,46,FALSE)*24,"")</f>
        <v/>
      </c>
      <c r="H550" s="36" t="str">
        <f>IF(AND(VLOOKUP(B550,Nov!B:AZ,6,FALSE)="",VLOOKUP(B550,Nov!B:AZ,50,FALSE)&gt;0),VLOOKUP(B550,Nov!B:AZ,50,FALSE)*24,"")</f>
        <v/>
      </c>
      <c r="I550" s="30" t="str">
        <f>IF(AND(NETWORKDAYS(B550,B550,Feiertage)=1,VLOOKUP(B550,Nov!B:AZ,6,FALSE)="U"),"Urlaub","")</f>
        <v/>
      </c>
      <c r="J550" s="34" t="str">
        <f ca="1">IF(AND(VLOOKUP(B550,Nov!B:AZ,6,FALSE)="",VLOOKUP(B550,Nov!B:AZ,22,FALSE)&lt;0),"Absetzen von","")</f>
        <v/>
      </c>
      <c r="K550" s="263"/>
      <c r="M550" s="316" t="str">
        <f ca="1">IF(VLOOKUP(B550,Nov!B:AZ,22,FALSE)&lt;&gt;0,VLOOKUP(B550,Nov!B:AZ,22,FALSE),"")</f>
        <v/>
      </c>
      <c r="N550" s="327"/>
    </row>
    <row r="551" spans="2:14" x14ac:dyDescent="0.25">
      <c r="B551" s="245">
        <f>Nov!F25</f>
        <v>42325</v>
      </c>
      <c r="C551" s="35">
        <f t="shared" si="6"/>
        <v>42325</v>
      </c>
      <c r="D551" s="17" t="str">
        <f>IF(AND(VLOOKUP(B551,Nov!B:AZ,8,FALSE)&gt;0,VLOOKUP(B551,Nov!B:AZ,6,FALSE)=""), CONCATENATE(TEXT(VLOOKUP(B551,Nov!B:AZ,7,FALSE),"hh:mm"), "-", TEXT(VLOOKUP(B551,Nov!B:AZ,8,FALSE),"[hh]:mm")," Uhr ", IF(VLOOKUP(B551,Nov!B:AZ,12,FALSE)&gt;0, CONCATENATE("und ",TEXT(VLOOKUP(B551,Nov!B:AZ,12,FALSE),"hh:mm"), "-", TEXT(VLOOKUP(B551,Nov!B:AZ,13,FALSE),"[hh]:mm")," Uhr "),"")), IF(VLOOKUP(B551,Nov!B:AZ,6,FALSE)="","",VLOOKUP(VLOOKUP(B551,Nov!B:AZ,6,FALSE),Legende_Code,2,FALSE)))</f>
        <v/>
      </c>
      <c r="E551" s="16" t="str">
        <f>IF(AND(VLOOKUP(B551,Nov!B:AZ,6,FALSE)="", WEEKDAY(B551,2)=6,VLOOKUP(B551,Nov!B:AZ,48,FALSE)&gt;0),VLOOKUP(B551,Nov!B:AZ,48,FALSE)*24,"")</f>
        <v/>
      </c>
      <c r="F551" s="16" t="str">
        <f>IF(AND(VLOOKUP(B551,Nov!B:AZ,6,FALSE)="", WEEKDAY(B551,2)=7,VLOOKUP(B551,Nov!B:AZ,49,FALSE)&gt;0),VLOOKUP(B551,Nov!B:AZ,49,FALSE)*24,"")</f>
        <v/>
      </c>
      <c r="G551" s="16" t="str">
        <f>IF(AND(VLOOKUP(B551,Nov!B:AZ,6,FALSE)="",VLOOKUP(B551,Nov!B:AZ,46,FALSE)&gt;0),VLOOKUP(B551,Nov!B:AZ,46,FALSE)*24,"")</f>
        <v/>
      </c>
      <c r="H551" s="36" t="str">
        <f>IF(AND(VLOOKUP(B551,Nov!B:AZ,6,FALSE)="",VLOOKUP(B551,Nov!B:AZ,50,FALSE)&gt;0),VLOOKUP(B551,Nov!B:AZ,50,FALSE)*24,"")</f>
        <v/>
      </c>
      <c r="I551" s="30" t="str">
        <f>IF(AND(NETWORKDAYS(B551,B551,Feiertage)=1,VLOOKUP(B551,Nov!B:AZ,6,FALSE)="U"),"Urlaub","")</f>
        <v/>
      </c>
      <c r="J551" s="34" t="str">
        <f ca="1">IF(AND(VLOOKUP(B551,Nov!B:AZ,6,FALSE)="",VLOOKUP(B551,Nov!B:AZ,22,FALSE)&lt;0),"Absetzen von","")</f>
        <v/>
      </c>
      <c r="K551" s="263"/>
      <c r="M551" s="316" t="str">
        <f ca="1">IF(VLOOKUP(B551,Nov!B:AZ,22,FALSE)&lt;&gt;0,VLOOKUP(B551,Nov!B:AZ,22,FALSE),"")</f>
        <v/>
      </c>
      <c r="N551" s="327"/>
    </row>
    <row r="552" spans="2:14" x14ac:dyDescent="0.25">
      <c r="B552" s="245">
        <f>Nov!F26</f>
        <v>42326</v>
      </c>
      <c r="C552" s="35">
        <f t="shared" si="6"/>
        <v>42326</v>
      </c>
      <c r="D552" s="17" t="str">
        <f>IF(AND(VLOOKUP(B552,Nov!B:AZ,8,FALSE)&gt;0,VLOOKUP(B552,Nov!B:AZ,6,FALSE)=""), CONCATENATE(TEXT(VLOOKUP(B552,Nov!B:AZ,7,FALSE),"hh:mm"), "-", TEXT(VLOOKUP(B552,Nov!B:AZ,8,FALSE),"[hh]:mm")," Uhr ", IF(VLOOKUP(B552,Nov!B:AZ,12,FALSE)&gt;0, CONCATENATE("und ",TEXT(VLOOKUP(B552,Nov!B:AZ,12,FALSE),"hh:mm"), "-", TEXT(VLOOKUP(B552,Nov!B:AZ,13,FALSE),"[hh]:mm")," Uhr "),"")), IF(VLOOKUP(B552,Nov!B:AZ,6,FALSE)="","",VLOOKUP(VLOOKUP(B552,Nov!B:AZ,6,FALSE),Legende_Code,2,FALSE)))</f>
        <v/>
      </c>
      <c r="E552" s="16" t="str">
        <f>IF(AND(VLOOKUP(B552,Nov!B:AZ,6,FALSE)="", WEEKDAY(B552,2)=6,VLOOKUP(B552,Nov!B:AZ,48,FALSE)&gt;0),VLOOKUP(B552,Nov!B:AZ,48,FALSE)*24,"")</f>
        <v/>
      </c>
      <c r="F552" s="16" t="str">
        <f>IF(AND(VLOOKUP(B552,Nov!B:AZ,6,FALSE)="", WEEKDAY(B552,2)=7,VLOOKUP(B552,Nov!B:AZ,49,FALSE)&gt;0),VLOOKUP(B552,Nov!B:AZ,49,FALSE)*24,"")</f>
        <v/>
      </c>
      <c r="G552" s="16" t="str">
        <f>IF(AND(VLOOKUP(B552,Nov!B:AZ,6,FALSE)="",VLOOKUP(B552,Nov!B:AZ,46,FALSE)&gt;0),VLOOKUP(B552,Nov!B:AZ,46,FALSE)*24,"")</f>
        <v/>
      </c>
      <c r="H552" s="36" t="str">
        <f>IF(AND(VLOOKUP(B552,Nov!B:AZ,6,FALSE)="",VLOOKUP(B552,Nov!B:AZ,50,FALSE)&gt;0),VLOOKUP(B552,Nov!B:AZ,50,FALSE)*24,"")</f>
        <v/>
      </c>
      <c r="I552" s="30" t="str">
        <f>IF(AND(NETWORKDAYS(B552,B552,Feiertage)=1,VLOOKUP(B552,Nov!B:AZ,6,FALSE)="U"),"Urlaub","")</f>
        <v/>
      </c>
      <c r="J552" s="34" t="str">
        <f ca="1">IF(AND(VLOOKUP(B552,Nov!B:AZ,6,FALSE)="",VLOOKUP(B552,Nov!B:AZ,22,FALSE)&lt;0),"Absetzen von","")</f>
        <v/>
      </c>
      <c r="K552" s="263"/>
      <c r="M552" s="316" t="str">
        <f ca="1">IF(VLOOKUP(B552,Nov!B:AZ,22,FALSE)&lt;&gt;0,VLOOKUP(B552,Nov!B:AZ,22,FALSE),"")</f>
        <v/>
      </c>
      <c r="N552" s="327"/>
    </row>
    <row r="553" spans="2:14" x14ac:dyDescent="0.25">
      <c r="B553" s="245">
        <f>Nov!F27</f>
        <v>42327</v>
      </c>
      <c r="C553" s="35">
        <f t="shared" si="6"/>
        <v>42327</v>
      </c>
      <c r="D553" s="17" t="str">
        <f>IF(AND(VLOOKUP(B553,Nov!B:AZ,8,FALSE)&gt;0,VLOOKUP(B553,Nov!B:AZ,6,FALSE)=""), CONCATENATE(TEXT(VLOOKUP(B553,Nov!B:AZ,7,FALSE),"hh:mm"), "-", TEXT(VLOOKUP(B553,Nov!B:AZ,8,FALSE),"[hh]:mm")," Uhr ", IF(VLOOKUP(B553,Nov!B:AZ,12,FALSE)&gt;0, CONCATENATE("und ",TEXT(VLOOKUP(B553,Nov!B:AZ,12,FALSE),"hh:mm"), "-", TEXT(VLOOKUP(B553,Nov!B:AZ,13,FALSE),"[hh]:mm")," Uhr "),"")), IF(VLOOKUP(B553,Nov!B:AZ,6,FALSE)="","",VLOOKUP(VLOOKUP(B553,Nov!B:AZ,6,FALSE),Legende_Code,2,FALSE)))</f>
        <v/>
      </c>
      <c r="E553" s="16" t="str">
        <f>IF(AND(VLOOKUP(B553,Nov!B:AZ,6,FALSE)="", WEEKDAY(B553,2)=6,VLOOKUP(B553,Nov!B:AZ,48,FALSE)&gt;0),VLOOKUP(B553,Nov!B:AZ,48,FALSE)*24,"")</f>
        <v/>
      </c>
      <c r="F553" s="16" t="str">
        <f>IF(AND(VLOOKUP(B553,Nov!B:AZ,6,FALSE)="", WEEKDAY(B553,2)=7,VLOOKUP(B553,Nov!B:AZ,49,FALSE)&gt;0),VLOOKUP(B553,Nov!B:AZ,49,FALSE)*24,"")</f>
        <v/>
      </c>
      <c r="G553" s="16" t="str">
        <f>IF(AND(VLOOKUP(B553,Nov!B:AZ,6,FALSE)="",VLOOKUP(B553,Nov!B:AZ,46,FALSE)&gt;0),VLOOKUP(B553,Nov!B:AZ,46,FALSE)*24,"")</f>
        <v/>
      </c>
      <c r="H553" s="36" t="str">
        <f>IF(AND(VLOOKUP(B553,Nov!B:AZ,6,FALSE)="",VLOOKUP(B553,Nov!B:AZ,50,FALSE)&gt;0),VLOOKUP(B553,Nov!B:AZ,50,FALSE)*24,"")</f>
        <v/>
      </c>
      <c r="I553" s="30" t="str">
        <f>IF(AND(NETWORKDAYS(B553,B553,Feiertage)=1,VLOOKUP(B553,Nov!B:AZ,6,FALSE)="U"),"Urlaub","")</f>
        <v/>
      </c>
      <c r="J553" s="34" t="str">
        <f>IF(AND(VLOOKUP(B553,Nov!B:AZ,6,FALSE)="",VLOOKUP(B553,Nov!B:AZ,22,FALSE)&lt;0),"Absetzen von","")</f>
        <v/>
      </c>
      <c r="K553" s="263"/>
      <c r="M553" s="316" t="str">
        <f>IF(VLOOKUP(B553,Nov!B:AZ,22,FALSE)&lt;&gt;0,VLOOKUP(B553,Nov!B:AZ,22,FALSE),"")</f>
        <v/>
      </c>
      <c r="N553" s="327"/>
    </row>
    <row r="554" spans="2:14" x14ac:dyDescent="0.25">
      <c r="B554" s="245">
        <f>Nov!F28</f>
        <v>42328</v>
      </c>
      <c r="C554" s="35">
        <f t="shared" si="6"/>
        <v>42328</v>
      </c>
      <c r="D554" s="17" t="str">
        <f>IF(AND(VLOOKUP(B554,Nov!B:AZ,8,FALSE)&gt;0,VLOOKUP(B554,Nov!B:AZ,6,FALSE)=""), CONCATENATE(TEXT(VLOOKUP(B554,Nov!B:AZ,7,FALSE),"hh:mm"), "-", TEXT(VLOOKUP(B554,Nov!B:AZ,8,FALSE),"[hh]:mm")," Uhr ", IF(VLOOKUP(B554,Nov!B:AZ,12,FALSE)&gt;0, CONCATENATE("und ",TEXT(VLOOKUP(B554,Nov!B:AZ,12,FALSE),"hh:mm"), "-", TEXT(VLOOKUP(B554,Nov!B:AZ,13,FALSE),"[hh]:mm")," Uhr "),"")), IF(VLOOKUP(B554,Nov!B:AZ,6,FALSE)="","",VLOOKUP(VLOOKUP(B554,Nov!B:AZ,6,FALSE),Legende_Code,2,FALSE)))</f>
        <v/>
      </c>
      <c r="E554" s="16" t="str">
        <f>IF(AND(VLOOKUP(B554,Nov!B:AZ,6,FALSE)="", WEEKDAY(B554,2)=6,VLOOKUP(B554,Nov!B:AZ,48,FALSE)&gt;0),VLOOKUP(B554,Nov!B:AZ,48,FALSE)*24,"")</f>
        <v/>
      </c>
      <c r="F554" s="16" t="str">
        <f>IF(AND(VLOOKUP(B554,Nov!B:AZ,6,FALSE)="", WEEKDAY(B554,2)=7,VLOOKUP(B554,Nov!B:AZ,49,FALSE)&gt;0),VLOOKUP(B554,Nov!B:AZ,49,FALSE)*24,"")</f>
        <v/>
      </c>
      <c r="G554" s="16" t="str">
        <f>IF(AND(VLOOKUP(B554,Nov!B:AZ,6,FALSE)="",VLOOKUP(B554,Nov!B:AZ,46,FALSE)&gt;0),VLOOKUP(B554,Nov!B:AZ,46,FALSE)*24,"")</f>
        <v/>
      </c>
      <c r="H554" s="36" t="str">
        <f>IF(AND(VLOOKUP(B554,Nov!B:AZ,6,FALSE)="",VLOOKUP(B554,Nov!B:AZ,50,FALSE)&gt;0),VLOOKUP(B554,Nov!B:AZ,50,FALSE)*24,"")</f>
        <v/>
      </c>
      <c r="I554" s="30" t="str">
        <f>IF(AND(NETWORKDAYS(B554,B554,Feiertage)=1,VLOOKUP(B554,Nov!B:AZ,6,FALSE)="U"),"Urlaub","")</f>
        <v/>
      </c>
      <c r="J554" s="34" t="str">
        <f ca="1">IF(AND(VLOOKUP(B554,Nov!B:AZ,6,FALSE)="",VLOOKUP(B554,Nov!B:AZ,22,FALSE)&lt;0),"Absetzen von","")</f>
        <v/>
      </c>
      <c r="K554" s="263"/>
      <c r="M554" s="316" t="str">
        <f ca="1">IF(VLOOKUP(B554,Nov!B:AZ,22,FALSE)&lt;&gt;0,VLOOKUP(B554,Nov!B:AZ,22,FALSE),"")</f>
        <v/>
      </c>
      <c r="N554" s="327"/>
    </row>
    <row r="555" spans="2:14" x14ac:dyDescent="0.25">
      <c r="B555" s="245">
        <f>Nov!F29</f>
        <v>42329</v>
      </c>
      <c r="C555" s="35">
        <f t="shared" si="6"/>
        <v>42329</v>
      </c>
      <c r="D555" s="17" t="str">
        <f>IF(AND(VLOOKUP(B555,Nov!B:AZ,8,FALSE)&gt;0,VLOOKUP(B555,Nov!B:AZ,6,FALSE)=""), CONCATENATE(TEXT(VLOOKUP(B555,Nov!B:AZ,7,FALSE),"hh:mm"), "-", TEXT(VLOOKUP(B555,Nov!B:AZ,8,FALSE),"[hh]:mm")," Uhr ", IF(VLOOKUP(B555,Nov!B:AZ,12,FALSE)&gt;0, CONCATENATE("und ",TEXT(VLOOKUP(B555,Nov!B:AZ,12,FALSE),"hh:mm"), "-", TEXT(VLOOKUP(B555,Nov!B:AZ,13,FALSE),"[hh]:mm")," Uhr "),"")), IF(VLOOKUP(B555,Nov!B:AZ,6,FALSE)="","",VLOOKUP(VLOOKUP(B555,Nov!B:AZ,6,FALSE),Legende_Code,2,FALSE)))</f>
        <v/>
      </c>
      <c r="E555" s="16" t="str">
        <f>IF(AND(VLOOKUP(B555,Nov!B:AZ,6,FALSE)="", WEEKDAY(B555,2)=6,VLOOKUP(B555,Nov!B:AZ,48,FALSE)&gt;0),VLOOKUP(B555,Nov!B:AZ,48,FALSE)*24,"")</f>
        <v/>
      </c>
      <c r="F555" s="16" t="str">
        <f>IF(AND(VLOOKUP(B555,Nov!B:AZ,6,FALSE)="", WEEKDAY(B555,2)=7,VLOOKUP(B555,Nov!B:AZ,49,FALSE)&gt;0),VLOOKUP(B555,Nov!B:AZ,49,FALSE)*24,"")</f>
        <v/>
      </c>
      <c r="G555" s="16" t="str">
        <f>IF(AND(VLOOKUP(B555,Nov!B:AZ,6,FALSE)="",VLOOKUP(B555,Nov!B:AZ,46,FALSE)&gt;0),VLOOKUP(B555,Nov!B:AZ,46,FALSE)*24,"")</f>
        <v/>
      </c>
      <c r="H555" s="36" t="str">
        <f>IF(AND(VLOOKUP(B555,Nov!B:AZ,6,FALSE)="",VLOOKUP(B555,Nov!B:AZ,50,FALSE)&gt;0),VLOOKUP(B555,Nov!B:AZ,50,FALSE)*24,"")</f>
        <v/>
      </c>
      <c r="I555" s="30" t="str">
        <f>IF(AND(NETWORKDAYS(B555,B555,Feiertage)=1,VLOOKUP(B555,Nov!B:AZ,6,FALSE)="U"),"Urlaub","")</f>
        <v/>
      </c>
      <c r="J555" s="34" t="str">
        <f ca="1">IF(AND(VLOOKUP(B555,Nov!B:AZ,6,FALSE)="",VLOOKUP(B555,Nov!B:AZ,22,FALSE)&lt;0),"Absetzen von","")</f>
        <v/>
      </c>
      <c r="K555" s="263"/>
      <c r="M555" s="316" t="str">
        <f ca="1">IF(VLOOKUP(B555,Nov!B:AZ,22,FALSE)&lt;&gt;0,VLOOKUP(B555,Nov!B:AZ,22,FALSE),"")</f>
        <v/>
      </c>
      <c r="N555" s="327"/>
    </row>
    <row r="556" spans="2:14" x14ac:dyDescent="0.25">
      <c r="B556" s="245">
        <f>Nov!F30</f>
        <v>42330</v>
      </c>
      <c r="C556" s="35">
        <f t="shared" si="6"/>
        <v>42330</v>
      </c>
      <c r="D556" s="17" t="str">
        <f>IF(AND(VLOOKUP(B556,Nov!B:AZ,8,FALSE)&gt;0,VLOOKUP(B556,Nov!B:AZ,6,FALSE)=""), CONCATENATE(TEXT(VLOOKUP(B556,Nov!B:AZ,7,FALSE),"hh:mm"), "-", TEXT(VLOOKUP(B556,Nov!B:AZ,8,FALSE),"[hh]:mm")," Uhr ", IF(VLOOKUP(B556,Nov!B:AZ,12,FALSE)&gt;0, CONCATENATE("und ",TEXT(VLOOKUP(B556,Nov!B:AZ,12,FALSE),"hh:mm"), "-", TEXT(VLOOKUP(B556,Nov!B:AZ,13,FALSE),"[hh]:mm")," Uhr "),"")), IF(VLOOKUP(B556,Nov!B:AZ,6,FALSE)="","",VLOOKUP(VLOOKUP(B556,Nov!B:AZ,6,FALSE),Legende_Code,2,FALSE)))</f>
        <v/>
      </c>
      <c r="E556" s="16" t="str">
        <f>IF(AND(VLOOKUP(B556,Nov!B:AZ,6,FALSE)="", WEEKDAY(B556,2)=6,VLOOKUP(B556,Nov!B:AZ,48,FALSE)&gt;0),VLOOKUP(B556,Nov!B:AZ,48,FALSE)*24,"")</f>
        <v/>
      </c>
      <c r="F556" s="16" t="str">
        <f>IF(AND(VLOOKUP(B556,Nov!B:AZ,6,FALSE)="", WEEKDAY(B556,2)=7,VLOOKUP(B556,Nov!B:AZ,49,FALSE)&gt;0),VLOOKUP(B556,Nov!B:AZ,49,FALSE)*24,"")</f>
        <v/>
      </c>
      <c r="G556" s="16" t="str">
        <f>IF(AND(VLOOKUP(B556,Nov!B:AZ,6,FALSE)="",VLOOKUP(B556,Nov!B:AZ,46,FALSE)&gt;0),VLOOKUP(B556,Nov!B:AZ,46,FALSE)*24,"")</f>
        <v/>
      </c>
      <c r="H556" s="36" t="str">
        <f>IF(AND(VLOOKUP(B556,Nov!B:AZ,6,FALSE)="",VLOOKUP(B556,Nov!B:AZ,50,FALSE)&gt;0),VLOOKUP(B556,Nov!B:AZ,50,FALSE)*24,"")</f>
        <v/>
      </c>
      <c r="I556" s="30" t="str">
        <f>IF(AND(NETWORKDAYS(B556,B556,Feiertage)=1,VLOOKUP(B556,Nov!B:AZ,6,FALSE)="U"),"Urlaub","")</f>
        <v/>
      </c>
      <c r="J556" s="34" t="str">
        <f ca="1">IF(AND(VLOOKUP(B556,Nov!B:AZ,6,FALSE)="",VLOOKUP(B556,Nov!B:AZ,22,FALSE)&lt;0),"Absetzen von","")</f>
        <v/>
      </c>
      <c r="K556" s="263"/>
      <c r="M556" s="316" t="str">
        <f ca="1">IF(VLOOKUP(B556,Nov!B:AZ,22,FALSE)&lt;&gt;0,VLOOKUP(B556,Nov!B:AZ,22,FALSE),"")</f>
        <v/>
      </c>
      <c r="N556" s="327"/>
    </row>
    <row r="557" spans="2:14" x14ac:dyDescent="0.25">
      <c r="B557" s="245">
        <f>Nov!F31</f>
        <v>42331</v>
      </c>
      <c r="C557" s="35">
        <f t="shared" si="6"/>
        <v>42331</v>
      </c>
      <c r="D557" s="17" t="str">
        <f>IF(AND(VLOOKUP(B557,Nov!B:AZ,8,FALSE)&gt;0,VLOOKUP(B557,Nov!B:AZ,6,FALSE)=""), CONCATENATE(TEXT(VLOOKUP(B557,Nov!B:AZ,7,FALSE),"hh:mm"), "-", TEXT(VLOOKUP(B557,Nov!B:AZ,8,FALSE),"[hh]:mm")," Uhr ", IF(VLOOKUP(B557,Nov!B:AZ,12,FALSE)&gt;0, CONCATENATE("und ",TEXT(VLOOKUP(B557,Nov!B:AZ,12,FALSE),"hh:mm"), "-", TEXT(VLOOKUP(B557,Nov!B:AZ,13,FALSE),"[hh]:mm")," Uhr "),"")), IF(VLOOKUP(B557,Nov!B:AZ,6,FALSE)="","",VLOOKUP(VLOOKUP(B557,Nov!B:AZ,6,FALSE),Legende_Code,2,FALSE)))</f>
        <v/>
      </c>
      <c r="E557" s="16" t="str">
        <f>IF(AND(VLOOKUP(B557,Nov!B:AZ,6,FALSE)="", WEEKDAY(B557,2)=6,VLOOKUP(B557,Nov!B:AZ,48,FALSE)&gt;0),VLOOKUP(B557,Nov!B:AZ,48,FALSE)*24,"")</f>
        <v/>
      </c>
      <c r="F557" s="16" t="str">
        <f>IF(AND(VLOOKUP(B557,Nov!B:AZ,6,FALSE)="", WEEKDAY(B557,2)=7,VLOOKUP(B557,Nov!B:AZ,49,FALSE)&gt;0),VLOOKUP(B557,Nov!B:AZ,49,FALSE)*24,"")</f>
        <v/>
      </c>
      <c r="G557" s="16" t="str">
        <f>IF(AND(VLOOKUP(B557,Nov!B:AZ,6,FALSE)="",VLOOKUP(B557,Nov!B:AZ,46,FALSE)&gt;0),VLOOKUP(B557,Nov!B:AZ,46,FALSE)*24,"")</f>
        <v/>
      </c>
      <c r="H557" s="36" t="str">
        <f>IF(AND(VLOOKUP(B557,Nov!B:AZ,6,FALSE)="",VLOOKUP(B557,Nov!B:AZ,50,FALSE)&gt;0),VLOOKUP(B557,Nov!B:AZ,50,FALSE)*24,"")</f>
        <v/>
      </c>
      <c r="I557" s="30" t="str">
        <f>IF(AND(NETWORKDAYS(B557,B557,Feiertage)=1,VLOOKUP(B557,Nov!B:AZ,6,FALSE)="U"),"Urlaub","")</f>
        <v/>
      </c>
      <c r="J557" s="34" t="str">
        <f ca="1">IF(AND(VLOOKUP(B557,Nov!B:AZ,6,FALSE)="",VLOOKUP(B557,Nov!B:AZ,22,FALSE)&lt;0),"Absetzen von","")</f>
        <v/>
      </c>
      <c r="K557" s="263"/>
      <c r="M557" s="316" t="str">
        <f ca="1">IF(VLOOKUP(B557,Nov!B:AZ,22,FALSE)&lt;&gt;0,VLOOKUP(B557,Nov!B:AZ,22,FALSE),"")</f>
        <v/>
      </c>
      <c r="N557" s="327"/>
    </row>
    <row r="558" spans="2:14" x14ac:dyDescent="0.25">
      <c r="B558" s="245">
        <f>Nov!F32</f>
        <v>42332</v>
      </c>
      <c r="C558" s="35">
        <f t="shared" si="6"/>
        <v>42332</v>
      </c>
      <c r="D558" s="17" t="str">
        <f>IF(AND(VLOOKUP(B558,Nov!B:AZ,8,FALSE)&gt;0,VLOOKUP(B558,Nov!B:AZ,6,FALSE)=""), CONCATENATE(TEXT(VLOOKUP(B558,Nov!B:AZ,7,FALSE),"hh:mm"), "-", TEXT(VLOOKUP(B558,Nov!B:AZ,8,FALSE),"[hh]:mm")," Uhr ", IF(VLOOKUP(B558,Nov!B:AZ,12,FALSE)&gt;0, CONCATENATE("und ",TEXT(VLOOKUP(B558,Nov!B:AZ,12,FALSE),"hh:mm"), "-", TEXT(VLOOKUP(B558,Nov!B:AZ,13,FALSE),"[hh]:mm")," Uhr "),"")), IF(VLOOKUP(B558,Nov!B:AZ,6,FALSE)="","",VLOOKUP(VLOOKUP(B558,Nov!B:AZ,6,FALSE),Legende_Code,2,FALSE)))</f>
        <v/>
      </c>
      <c r="E558" s="16" t="str">
        <f>IF(AND(VLOOKUP(B558,Nov!B:AZ,6,FALSE)="", WEEKDAY(B558,2)=6,VLOOKUP(B558,Nov!B:AZ,48,FALSE)&gt;0),VLOOKUP(B558,Nov!B:AZ,48,FALSE)*24,"")</f>
        <v/>
      </c>
      <c r="F558" s="16" t="str">
        <f>IF(AND(VLOOKUP(B558,Nov!B:AZ,6,FALSE)="", WEEKDAY(B558,2)=7,VLOOKUP(B558,Nov!B:AZ,49,FALSE)&gt;0),VLOOKUP(B558,Nov!B:AZ,49,FALSE)*24,"")</f>
        <v/>
      </c>
      <c r="G558" s="16" t="str">
        <f>IF(AND(VLOOKUP(B558,Nov!B:AZ,6,FALSE)="",VLOOKUP(B558,Nov!B:AZ,46,FALSE)&gt;0),VLOOKUP(B558,Nov!B:AZ,46,FALSE)*24,"")</f>
        <v/>
      </c>
      <c r="H558" s="36" t="str">
        <f>IF(AND(VLOOKUP(B558,Nov!B:AZ,6,FALSE)="",VLOOKUP(B558,Nov!B:AZ,50,FALSE)&gt;0),VLOOKUP(B558,Nov!B:AZ,50,FALSE)*24,"")</f>
        <v/>
      </c>
      <c r="I558" s="30" t="str">
        <f>IF(AND(NETWORKDAYS(B558,B558,Feiertage)=1,VLOOKUP(B558,Nov!B:AZ,6,FALSE)="U"),"Urlaub","")</f>
        <v/>
      </c>
      <c r="J558" s="34" t="str">
        <f ca="1">IF(AND(VLOOKUP(B558,Nov!B:AZ,6,FALSE)="",VLOOKUP(B558,Nov!B:AZ,22,FALSE)&lt;0),"Absetzen von","")</f>
        <v/>
      </c>
      <c r="K558" s="263"/>
      <c r="M558" s="316" t="str">
        <f ca="1">IF(VLOOKUP(B558,Nov!B:AZ,22,FALSE)&lt;&gt;0,VLOOKUP(B558,Nov!B:AZ,22,FALSE),"")</f>
        <v/>
      </c>
      <c r="N558" s="327"/>
    </row>
    <row r="559" spans="2:14" x14ac:dyDescent="0.25">
      <c r="B559" s="245">
        <f>Nov!F33</f>
        <v>42333</v>
      </c>
      <c r="C559" s="35">
        <f t="shared" ref="C559:C616" si="7">B559</f>
        <v>42333</v>
      </c>
      <c r="D559" s="17" t="str">
        <f>IF(AND(VLOOKUP(B559,Nov!B:AZ,8,FALSE)&gt;0,VLOOKUP(B559,Nov!B:AZ,6,FALSE)=""), CONCATENATE(TEXT(VLOOKUP(B559,Nov!B:AZ,7,FALSE),"hh:mm"), "-", TEXT(VLOOKUP(B559,Nov!B:AZ,8,FALSE),"[hh]:mm")," Uhr ", IF(VLOOKUP(B559,Nov!B:AZ,12,FALSE)&gt;0, CONCATENATE("und ",TEXT(VLOOKUP(B559,Nov!B:AZ,12,FALSE),"hh:mm"), "-", TEXT(VLOOKUP(B559,Nov!B:AZ,13,FALSE),"[hh]:mm")," Uhr "),"")), IF(VLOOKUP(B559,Nov!B:AZ,6,FALSE)="","",VLOOKUP(VLOOKUP(B559,Nov!B:AZ,6,FALSE),Legende_Code,2,FALSE)))</f>
        <v/>
      </c>
      <c r="E559" s="16" t="str">
        <f>IF(AND(VLOOKUP(B559,Nov!B:AZ,6,FALSE)="", WEEKDAY(B559,2)=6,VLOOKUP(B559,Nov!B:AZ,48,FALSE)&gt;0),VLOOKUP(B559,Nov!B:AZ,48,FALSE)*24,"")</f>
        <v/>
      </c>
      <c r="F559" s="16" t="str">
        <f>IF(AND(VLOOKUP(B559,Nov!B:AZ,6,FALSE)="", WEEKDAY(B559,2)=7,VLOOKUP(B559,Nov!B:AZ,49,FALSE)&gt;0),VLOOKUP(B559,Nov!B:AZ,49,FALSE)*24,"")</f>
        <v/>
      </c>
      <c r="G559" s="16" t="str">
        <f>IF(AND(VLOOKUP(B559,Nov!B:AZ,6,FALSE)="",VLOOKUP(B559,Nov!B:AZ,46,FALSE)&gt;0),VLOOKUP(B559,Nov!B:AZ,46,FALSE)*24,"")</f>
        <v/>
      </c>
      <c r="H559" s="36" t="str">
        <f>IF(AND(VLOOKUP(B559,Nov!B:AZ,6,FALSE)="",VLOOKUP(B559,Nov!B:AZ,50,FALSE)&gt;0),VLOOKUP(B559,Nov!B:AZ,50,FALSE)*24,"")</f>
        <v/>
      </c>
      <c r="I559" s="30" t="str">
        <f>IF(AND(NETWORKDAYS(B559,B559,Feiertage)=1,VLOOKUP(B559,Nov!B:AZ,6,FALSE)="U"),"Urlaub","")</f>
        <v/>
      </c>
      <c r="J559" s="34" t="str">
        <f ca="1">IF(AND(VLOOKUP(B559,Nov!B:AZ,6,FALSE)="",VLOOKUP(B559,Nov!B:AZ,22,FALSE)&lt;0),"Absetzen von","")</f>
        <v/>
      </c>
      <c r="K559" s="263"/>
      <c r="M559" s="316" t="str">
        <f ca="1">IF(VLOOKUP(B559,Nov!B:AZ,22,FALSE)&lt;&gt;0,VLOOKUP(B559,Nov!B:AZ,22,FALSE),"")</f>
        <v/>
      </c>
      <c r="N559" s="327"/>
    </row>
    <row r="560" spans="2:14" x14ac:dyDescent="0.25">
      <c r="B560" s="245">
        <f>Nov!F34</f>
        <v>42334</v>
      </c>
      <c r="C560" s="35">
        <f t="shared" si="7"/>
        <v>42334</v>
      </c>
      <c r="D560" s="17" t="str">
        <f>IF(AND(VLOOKUP(B560,Nov!B:AZ,8,FALSE)&gt;0,VLOOKUP(B560,Nov!B:AZ,6,FALSE)=""), CONCATENATE(TEXT(VLOOKUP(B560,Nov!B:AZ,7,FALSE),"hh:mm"), "-", TEXT(VLOOKUP(B560,Nov!B:AZ,8,FALSE),"[hh]:mm")," Uhr ", IF(VLOOKUP(B560,Nov!B:AZ,12,FALSE)&gt;0, CONCATENATE("und ",TEXT(VLOOKUP(B560,Nov!B:AZ,12,FALSE),"hh:mm"), "-", TEXT(VLOOKUP(B560,Nov!B:AZ,13,FALSE),"[hh]:mm")," Uhr "),"")), IF(VLOOKUP(B560,Nov!B:AZ,6,FALSE)="","",VLOOKUP(VLOOKUP(B560,Nov!B:AZ,6,FALSE),Legende_Code,2,FALSE)))</f>
        <v/>
      </c>
      <c r="E560" s="16" t="str">
        <f>IF(AND(VLOOKUP(B560,Nov!B:AZ,6,FALSE)="", WEEKDAY(B560,2)=6,VLOOKUP(B560,Nov!B:AZ,48,FALSE)&gt;0),VLOOKUP(B560,Nov!B:AZ,48,FALSE)*24,"")</f>
        <v/>
      </c>
      <c r="F560" s="16" t="str">
        <f>IF(AND(VLOOKUP(B560,Nov!B:AZ,6,FALSE)="", WEEKDAY(B560,2)=7,VLOOKUP(B560,Nov!B:AZ,49,FALSE)&gt;0),VLOOKUP(B560,Nov!B:AZ,49,FALSE)*24,"")</f>
        <v/>
      </c>
      <c r="G560" s="16" t="str">
        <f>IF(AND(VLOOKUP(B560,Nov!B:AZ,6,FALSE)="",VLOOKUP(B560,Nov!B:AZ,46,FALSE)&gt;0),VLOOKUP(B560,Nov!B:AZ,46,FALSE)*24,"")</f>
        <v/>
      </c>
      <c r="H560" s="36" t="str">
        <f>IF(AND(VLOOKUP(B560,Nov!B:AZ,6,FALSE)="",VLOOKUP(B560,Nov!B:AZ,50,FALSE)&gt;0),VLOOKUP(B560,Nov!B:AZ,50,FALSE)*24,"")</f>
        <v/>
      </c>
      <c r="I560" s="30" t="str">
        <f>IF(AND(NETWORKDAYS(B560,B560,Feiertage)=1,VLOOKUP(B560,Nov!B:AZ,6,FALSE)="U"),"Urlaub","")</f>
        <v/>
      </c>
      <c r="J560" s="34" t="str">
        <f ca="1">IF(AND(VLOOKUP(B560,Nov!B:AZ,6,FALSE)="",VLOOKUP(B560,Nov!B:AZ,22,FALSE)&lt;0),"Absetzen von","")</f>
        <v/>
      </c>
      <c r="K560" s="263"/>
      <c r="M560" s="316" t="str">
        <f ca="1">IF(VLOOKUP(B560,Nov!B:AZ,22,FALSE)&lt;&gt;0,VLOOKUP(B560,Nov!B:AZ,22,FALSE),"")</f>
        <v/>
      </c>
      <c r="N560" s="327"/>
    </row>
    <row r="561" spans="1:14" x14ac:dyDescent="0.25">
      <c r="B561" s="245">
        <f>Nov!F35</f>
        <v>42335</v>
      </c>
      <c r="C561" s="35">
        <f t="shared" si="7"/>
        <v>42335</v>
      </c>
      <c r="D561" s="17" t="str">
        <f>IF(AND(VLOOKUP(B561,Nov!B:AZ,8,FALSE)&gt;0,VLOOKUP(B561,Nov!B:AZ,6,FALSE)=""), CONCATENATE(TEXT(VLOOKUP(B561,Nov!B:AZ,7,FALSE),"hh:mm"), "-", TEXT(VLOOKUP(B561,Nov!B:AZ,8,FALSE),"[hh]:mm")," Uhr ", IF(VLOOKUP(B561,Nov!B:AZ,12,FALSE)&gt;0, CONCATENATE("und ",TEXT(VLOOKUP(B561,Nov!B:AZ,12,FALSE),"hh:mm"), "-", TEXT(VLOOKUP(B561,Nov!B:AZ,13,FALSE),"[hh]:mm")," Uhr "),"")), IF(VLOOKUP(B561,Nov!B:AZ,6,FALSE)="","",VLOOKUP(VLOOKUP(B561,Nov!B:AZ,6,FALSE),Legende_Code,2,FALSE)))</f>
        <v/>
      </c>
      <c r="E561" s="16" t="str">
        <f>IF(AND(VLOOKUP(B561,Nov!B:AZ,6,FALSE)="", WEEKDAY(B561,2)=6,VLOOKUP(B561,Nov!B:AZ,48,FALSE)&gt;0),VLOOKUP(B561,Nov!B:AZ,48,FALSE)*24,"")</f>
        <v/>
      </c>
      <c r="F561" s="16" t="str">
        <f>IF(AND(VLOOKUP(B561,Nov!B:AZ,6,FALSE)="", WEEKDAY(B561,2)=7,VLOOKUP(B561,Nov!B:AZ,49,FALSE)&gt;0),VLOOKUP(B561,Nov!B:AZ,49,FALSE)*24,"")</f>
        <v/>
      </c>
      <c r="G561" s="16" t="str">
        <f>IF(AND(VLOOKUP(B561,Nov!B:AZ,6,FALSE)="",VLOOKUP(B561,Nov!B:AZ,46,FALSE)&gt;0),VLOOKUP(B561,Nov!B:AZ,46,FALSE)*24,"")</f>
        <v/>
      </c>
      <c r="H561" s="36" t="str">
        <f>IF(AND(VLOOKUP(B561,Nov!B:AZ,6,FALSE)="",VLOOKUP(B561,Nov!B:AZ,50,FALSE)&gt;0),VLOOKUP(B561,Nov!B:AZ,50,FALSE)*24,"")</f>
        <v/>
      </c>
      <c r="I561" s="30" t="str">
        <f>IF(AND(NETWORKDAYS(B561,B561,Feiertage)=1,VLOOKUP(B561,Nov!B:AZ,6,FALSE)="U"),"Urlaub","")</f>
        <v/>
      </c>
      <c r="J561" s="34" t="str">
        <f ca="1">IF(AND(VLOOKUP(B561,Nov!B:AZ,6,FALSE)="",VLOOKUP(B561,Nov!B:AZ,22,FALSE)&lt;0),"Absetzen von","")</f>
        <v/>
      </c>
      <c r="K561" s="263"/>
      <c r="M561" s="316" t="str">
        <f ca="1">IF(VLOOKUP(B561,Nov!B:AZ,22,FALSE)&lt;&gt;0,VLOOKUP(B561,Nov!B:AZ,22,FALSE),"")</f>
        <v/>
      </c>
      <c r="N561" s="327"/>
    </row>
    <row r="562" spans="1:14" x14ac:dyDescent="0.25">
      <c r="B562" s="245">
        <f>Nov!F36</f>
        <v>42336</v>
      </c>
      <c r="C562" s="35">
        <f t="shared" si="7"/>
        <v>42336</v>
      </c>
      <c r="D562" s="17" t="str">
        <f>IF(AND(VLOOKUP(B562,Nov!B:AZ,8,FALSE)&gt;0,VLOOKUP(B562,Nov!B:AZ,6,FALSE)=""), CONCATENATE(TEXT(VLOOKUP(B562,Nov!B:AZ,7,FALSE),"hh:mm"), "-", TEXT(VLOOKUP(B562,Nov!B:AZ,8,FALSE),"[hh]:mm")," Uhr ", IF(VLOOKUP(B562,Nov!B:AZ,12,FALSE)&gt;0, CONCATENATE("und ",TEXT(VLOOKUP(B562,Nov!B:AZ,12,FALSE),"hh:mm"), "-", TEXT(VLOOKUP(B562,Nov!B:AZ,13,FALSE),"[hh]:mm")," Uhr "),"")), IF(VLOOKUP(B562,Nov!B:AZ,6,FALSE)="","",VLOOKUP(VLOOKUP(B562,Nov!B:AZ,6,FALSE),Legende_Code,2,FALSE)))</f>
        <v/>
      </c>
      <c r="E562" s="16" t="str">
        <f>IF(AND(VLOOKUP(B562,Nov!B:AZ,6,FALSE)="", WEEKDAY(B562,2)=6,VLOOKUP(B562,Nov!B:AZ,48,FALSE)&gt;0),VLOOKUP(B562,Nov!B:AZ,48,FALSE)*24,"")</f>
        <v/>
      </c>
      <c r="F562" s="16" t="str">
        <f>IF(AND(VLOOKUP(B562,Nov!B:AZ,6,FALSE)="", WEEKDAY(B562,2)=7,VLOOKUP(B562,Nov!B:AZ,49,FALSE)&gt;0),VLOOKUP(B562,Nov!B:AZ,49,FALSE)*24,"")</f>
        <v/>
      </c>
      <c r="G562" s="16" t="str">
        <f>IF(AND(VLOOKUP(B562,Nov!B:AZ,6,FALSE)="",VLOOKUP(B562,Nov!B:AZ,46,FALSE)&gt;0),VLOOKUP(B562,Nov!B:AZ,46,FALSE)*24,"")</f>
        <v/>
      </c>
      <c r="H562" s="36" t="str">
        <f>IF(AND(VLOOKUP(B562,Nov!B:AZ,6,FALSE)="",VLOOKUP(B562,Nov!B:AZ,50,FALSE)&gt;0),VLOOKUP(B562,Nov!B:AZ,50,FALSE)*24,"")</f>
        <v/>
      </c>
      <c r="I562" s="30" t="str">
        <f>IF(AND(NETWORKDAYS(B562,B562,Feiertage)=1,VLOOKUP(B562,Nov!B:AZ,6,FALSE)="U"),"Urlaub","")</f>
        <v/>
      </c>
      <c r="J562" s="34" t="str">
        <f ca="1">IF(AND(VLOOKUP(B562,Nov!B:AZ,6,FALSE)="",VLOOKUP(B562,Nov!B:AZ,22,FALSE)&lt;0),"Absetzen von","")</f>
        <v/>
      </c>
      <c r="K562" s="263"/>
      <c r="M562" s="316" t="str">
        <f ca="1">IF(VLOOKUP(B562,Nov!B:AZ,22,FALSE)&lt;&gt;0,VLOOKUP(B562,Nov!B:AZ,22,FALSE),"")</f>
        <v/>
      </c>
      <c r="N562" s="327"/>
    </row>
    <row r="563" spans="1:14" x14ac:dyDescent="0.25">
      <c r="B563" s="245">
        <f>Nov!F37</f>
        <v>42337</v>
      </c>
      <c r="C563" s="35">
        <f t="shared" si="7"/>
        <v>42337</v>
      </c>
      <c r="D563" s="17" t="str">
        <f>IF(AND(VLOOKUP(B563,Nov!B:AZ,8,FALSE)&gt;0,VLOOKUP(B563,Nov!B:AZ,6,FALSE)=""), CONCATENATE(TEXT(VLOOKUP(B563,Nov!B:AZ,7,FALSE),"hh:mm"), "-", TEXT(VLOOKUP(B563,Nov!B:AZ,8,FALSE),"[hh]:mm")," Uhr ", IF(VLOOKUP(B563,Nov!B:AZ,12,FALSE)&gt;0, CONCATENATE("und ",TEXT(VLOOKUP(B563,Nov!B:AZ,12,FALSE),"hh:mm"), "-", TEXT(VLOOKUP(B563,Nov!B:AZ,13,FALSE),"[hh]:mm")," Uhr "),"")), IF(VLOOKUP(B563,Nov!B:AZ,6,FALSE)="","",VLOOKUP(VLOOKUP(B563,Nov!B:AZ,6,FALSE),Legende_Code,2,FALSE)))</f>
        <v/>
      </c>
      <c r="E563" s="16" t="str">
        <f>IF(AND(VLOOKUP(B563,Nov!B:AZ,6,FALSE)="", WEEKDAY(B563,2)=6,VLOOKUP(B563,Nov!B:AZ,48,FALSE)&gt;0),VLOOKUP(B563,Nov!B:AZ,48,FALSE)*24,"")</f>
        <v/>
      </c>
      <c r="F563" s="16" t="str">
        <f>IF(AND(VLOOKUP(B563,Nov!B:AZ,6,FALSE)="", WEEKDAY(B563,2)=7,VLOOKUP(B563,Nov!B:AZ,49,FALSE)&gt;0),VLOOKUP(B563,Nov!B:AZ,49,FALSE)*24,"")</f>
        <v/>
      </c>
      <c r="G563" s="16" t="str">
        <f>IF(AND(VLOOKUP(B563,Nov!B:AZ,6,FALSE)="",VLOOKUP(B563,Nov!B:AZ,46,FALSE)&gt;0),VLOOKUP(B563,Nov!B:AZ,46,FALSE)*24,"")</f>
        <v/>
      </c>
      <c r="H563" s="36" t="str">
        <f>IF(AND(VLOOKUP(B563,Nov!B:AZ,6,FALSE)="",VLOOKUP(B563,Nov!B:AZ,50,FALSE)&gt;0),VLOOKUP(B563,Nov!B:AZ,50,FALSE)*24,"")</f>
        <v/>
      </c>
      <c r="I563" s="30" t="str">
        <f>IF(AND(NETWORKDAYS(B563,B563,Feiertage)=1,VLOOKUP(B563,Nov!B:AZ,6,FALSE)="U"),"Urlaub","")</f>
        <v/>
      </c>
      <c r="J563" s="34" t="str">
        <f ca="1">IF(AND(VLOOKUP(B563,Nov!B:AZ,6,FALSE)="",VLOOKUP(B563,Nov!B:AZ,22,FALSE)&lt;0),"Absetzen von","")</f>
        <v/>
      </c>
      <c r="K563" s="263"/>
      <c r="M563" s="316" t="str">
        <f ca="1">IF(VLOOKUP(B563,Nov!B:AZ,22,FALSE)&lt;&gt;0,VLOOKUP(B563,Nov!B:AZ,22,FALSE),"")</f>
        <v/>
      </c>
      <c r="N563" s="327"/>
    </row>
    <row r="564" spans="1:14" ht="15.75" thickBot="1" x14ac:dyDescent="0.3">
      <c r="B564" s="245"/>
      <c r="C564" s="35"/>
      <c r="D564" s="17"/>
      <c r="E564" s="16"/>
      <c r="F564" s="16"/>
      <c r="G564" s="16"/>
      <c r="H564" s="36"/>
      <c r="I564" s="30"/>
      <c r="J564" s="34"/>
      <c r="K564" s="263"/>
      <c r="N564" s="327"/>
    </row>
    <row r="565" spans="1:14" ht="15.75" thickBot="1" x14ac:dyDescent="0.3">
      <c r="B565" s="186"/>
      <c r="C565" s="37"/>
      <c r="D565" s="38" t="s">
        <v>198</v>
      </c>
      <c r="E565" s="39" t="str">
        <f>IF(SUM(E534:E564)=0," ",SUM(E534:E564))</f>
        <v xml:space="preserve"> </v>
      </c>
      <c r="F565" s="39" t="str">
        <f>IF(SUM(F534:F564)=0," ",SUM(F534:F564))</f>
        <v xml:space="preserve"> </v>
      </c>
      <c r="G565" s="39" t="str">
        <f>IF(SUM(G534:G564)=0," ",SUM(G534:G564))</f>
        <v xml:space="preserve"> </v>
      </c>
      <c r="H565" s="40" t="str">
        <f>IF(SUM(H534:H564)=0," ",SUM(H534:H564))</f>
        <v xml:space="preserve"> </v>
      </c>
      <c r="I565" s="30"/>
      <c r="J565" s="185"/>
      <c r="K565" s="266"/>
      <c r="N565" s="327"/>
    </row>
    <row r="566" spans="1:14" x14ac:dyDescent="0.25">
      <c r="B566" s="44" t="s">
        <v>199</v>
      </c>
      <c r="C566" s="20"/>
      <c r="D566" s="41"/>
      <c r="E566" s="20"/>
      <c r="F566" s="20"/>
      <c r="G566" s="20" t="s">
        <v>200</v>
      </c>
      <c r="H566" s="20"/>
      <c r="I566" s="20"/>
      <c r="J566" s="20"/>
      <c r="K566" s="267"/>
      <c r="N566" s="327"/>
    </row>
    <row r="567" spans="1:14" x14ac:dyDescent="0.25">
      <c r="B567" s="44"/>
      <c r="C567" s="20"/>
      <c r="D567" s="41"/>
      <c r="E567" s="20"/>
      <c r="F567" s="20"/>
      <c r="G567" s="20"/>
      <c r="H567" s="20"/>
      <c r="I567" s="20"/>
      <c r="J567" s="20"/>
      <c r="K567" s="267"/>
      <c r="N567" s="327"/>
    </row>
    <row r="568" spans="1:14" x14ac:dyDescent="0.25">
      <c r="B568" s="44"/>
      <c r="C568" s="20"/>
      <c r="D568" s="41"/>
      <c r="E568" s="20"/>
      <c r="F568" s="20"/>
      <c r="G568" s="20"/>
      <c r="H568" s="20"/>
      <c r="I568" s="20"/>
      <c r="J568" s="20"/>
      <c r="K568" s="267"/>
      <c r="N568" s="327"/>
    </row>
    <row r="569" spans="1:14" x14ac:dyDescent="0.25">
      <c r="B569" s="44" t="s">
        <v>201</v>
      </c>
      <c r="C569" s="20"/>
      <c r="D569" s="41"/>
      <c r="E569" s="20"/>
      <c r="F569" s="20"/>
      <c r="G569" s="20" t="s">
        <v>202</v>
      </c>
      <c r="H569" s="20"/>
      <c r="I569" s="20"/>
      <c r="J569" s="20"/>
      <c r="K569" s="267"/>
      <c r="N569" s="327"/>
    </row>
    <row r="570" spans="1:14" x14ac:dyDescent="0.25">
      <c r="B570" s="253"/>
      <c r="C570" s="42"/>
      <c r="D570" s="18"/>
      <c r="E570" s="19"/>
      <c r="F570" s="19"/>
      <c r="G570" s="19"/>
      <c r="H570" s="43"/>
      <c r="I570" s="20"/>
      <c r="J570" s="44"/>
      <c r="K570" s="268"/>
      <c r="N570" s="327"/>
    </row>
    <row r="571" spans="1:14" x14ac:dyDescent="0.25">
      <c r="B571" s="253"/>
      <c r="C571" s="42"/>
      <c r="D571" s="18"/>
      <c r="E571" s="19"/>
      <c r="F571" s="19"/>
      <c r="G571" s="19"/>
      <c r="H571" s="43"/>
      <c r="I571" s="20"/>
      <c r="J571" s="44"/>
      <c r="K571" s="268"/>
      <c r="N571" s="327"/>
    </row>
    <row r="572" spans="1:14" x14ac:dyDescent="0.25">
      <c r="B572" s="253"/>
      <c r="C572" s="42"/>
      <c r="D572" s="18"/>
      <c r="E572" s="19"/>
      <c r="F572" s="19"/>
      <c r="G572" s="19"/>
      <c r="H572" s="43"/>
      <c r="I572" s="20"/>
      <c r="J572" s="44"/>
      <c r="K572" s="268"/>
      <c r="N572" s="327"/>
    </row>
    <row r="573" spans="1:14" x14ac:dyDescent="0.25">
      <c r="B573" s="253"/>
      <c r="C573" s="42"/>
      <c r="D573" s="18"/>
      <c r="E573" s="19"/>
      <c r="F573" s="19"/>
      <c r="G573" s="19"/>
      <c r="H573" s="43"/>
      <c r="I573" s="20"/>
      <c r="J573" s="44"/>
      <c r="K573" s="268"/>
      <c r="N573" s="327"/>
    </row>
    <row r="574" spans="1:14" s="45" customFormat="1" ht="18" x14ac:dyDescent="0.25">
      <c r="B574" s="252"/>
      <c r="C574" s="539" t="s">
        <v>186</v>
      </c>
      <c r="D574" s="539"/>
      <c r="E574" s="539"/>
      <c r="F574" s="539"/>
      <c r="G574" s="21"/>
      <c r="H574" s="21"/>
      <c r="I574" s="21"/>
      <c r="J574" s="21"/>
      <c r="K574" s="259"/>
      <c r="M574" s="317"/>
      <c r="N574" s="328"/>
    </row>
    <row r="575" spans="1:14" s="45" customFormat="1" ht="16.5" x14ac:dyDescent="0.25">
      <c r="B575" s="252" t="s">
        <v>82</v>
      </c>
      <c r="C575" s="21"/>
      <c r="D575" s="22"/>
      <c r="E575" s="21"/>
      <c r="F575" s="21"/>
      <c r="G575" s="21"/>
      <c r="H575" s="21"/>
      <c r="I575" s="23" t="str">
        <f>Struktureinheit</f>
        <v>Struktureinheit</v>
      </c>
      <c r="J575" s="24"/>
      <c r="K575" s="260"/>
      <c r="M575" s="317" t="s">
        <v>187</v>
      </c>
      <c r="N575" s="256"/>
    </row>
    <row r="576" spans="1:14" ht="16.5" x14ac:dyDescent="0.25">
      <c r="A576" s="29"/>
      <c r="B576" s="545" t="s">
        <v>1</v>
      </c>
      <c r="C576" s="545"/>
      <c r="D576" s="20" t="str">
        <f>Name</f>
        <v>Max Mustermann</v>
      </c>
      <c r="E576" s="25"/>
      <c r="F576" s="25"/>
      <c r="G576" s="25"/>
      <c r="H576" s="26"/>
      <c r="I576" s="27"/>
      <c r="J576" s="27"/>
      <c r="K576" s="260"/>
      <c r="M576" s="317" t="s">
        <v>188</v>
      </c>
      <c r="N576" s="257"/>
    </row>
    <row r="577" spans="1:14" ht="9.75" customHeight="1" x14ac:dyDescent="0.25">
      <c r="A577" s="29"/>
      <c r="C577" s="26"/>
      <c r="D577" s="28"/>
      <c r="E577" s="26"/>
      <c r="F577" s="26"/>
      <c r="G577" s="26"/>
      <c r="H577" s="26"/>
      <c r="I577" s="26"/>
      <c r="J577" s="26"/>
      <c r="K577" s="259"/>
      <c r="N577" s="327"/>
    </row>
    <row r="578" spans="1:14" x14ac:dyDescent="0.25">
      <c r="A578" s="29"/>
      <c r="B578" s="545" t="s">
        <v>189</v>
      </c>
      <c r="C578" s="545"/>
      <c r="D578" s="26">
        <f>Personalnummer</f>
        <v>123456789</v>
      </c>
      <c r="G578" s="26"/>
      <c r="H578" s="184" t="s">
        <v>190</v>
      </c>
      <c r="I578" s="540">
        <f>Geburtstag</f>
        <v>16833</v>
      </c>
      <c r="J578" s="540"/>
      <c r="K578" s="261"/>
      <c r="N578" s="327"/>
    </row>
    <row r="579" spans="1:14" x14ac:dyDescent="0.25">
      <c r="A579" s="29"/>
      <c r="C579" s="26"/>
      <c r="D579" s="28"/>
      <c r="E579" s="26"/>
      <c r="F579" s="26"/>
      <c r="G579" s="26"/>
      <c r="H579" s="26"/>
      <c r="I579" s="26"/>
      <c r="J579" s="26"/>
      <c r="K579" s="259"/>
      <c r="N579" s="327"/>
    </row>
    <row r="580" spans="1:14" x14ac:dyDescent="0.25">
      <c r="A580" s="29"/>
      <c r="B580" s="541" t="s">
        <v>191</v>
      </c>
      <c r="C580" s="541"/>
      <c r="D580" s="542">
        <f>B586</f>
        <v>42338</v>
      </c>
      <c r="E580" s="542"/>
      <c r="F580" s="542"/>
      <c r="G580" s="542"/>
      <c r="H580" s="542"/>
      <c r="I580" s="186"/>
      <c r="J580" s="543"/>
      <c r="K580" s="544"/>
      <c r="N580" s="327"/>
    </row>
    <row r="581" spans="1:14" ht="15" customHeight="1" x14ac:dyDescent="0.25">
      <c r="B581" s="557"/>
      <c r="C581" s="557"/>
      <c r="D581" s="558" t="s">
        <v>192</v>
      </c>
      <c r="E581" s="546" t="s">
        <v>38</v>
      </c>
      <c r="F581" s="546" t="s">
        <v>39</v>
      </c>
      <c r="G581" s="546" t="s">
        <v>105</v>
      </c>
      <c r="H581" s="548" t="s">
        <v>81</v>
      </c>
      <c r="I581" s="30" t="s">
        <v>193</v>
      </c>
      <c r="J581" s="550" t="s">
        <v>63</v>
      </c>
      <c r="K581" s="551"/>
      <c r="N581" s="327"/>
    </row>
    <row r="582" spans="1:14" x14ac:dyDescent="0.25">
      <c r="B582" s="557"/>
      <c r="C582" s="557"/>
      <c r="D582" s="558"/>
      <c r="E582" s="547"/>
      <c r="F582" s="547"/>
      <c r="G582" s="547"/>
      <c r="H582" s="549"/>
      <c r="I582" s="552"/>
      <c r="J582" s="550"/>
      <c r="K582" s="551"/>
      <c r="N582" s="327"/>
    </row>
    <row r="583" spans="1:14" x14ac:dyDescent="0.25">
      <c r="B583" s="557"/>
      <c r="C583" s="186"/>
      <c r="D583" s="31" t="s">
        <v>194</v>
      </c>
      <c r="E583" s="186" t="s">
        <v>195</v>
      </c>
      <c r="F583" s="186"/>
      <c r="G583" s="186" t="s">
        <v>196</v>
      </c>
      <c r="H583" s="32"/>
      <c r="I583" s="544"/>
      <c r="J583" s="543"/>
      <c r="K583" s="554"/>
      <c r="N583" s="327"/>
    </row>
    <row r="584" spans="1:14" x14ac:dyDescent="0.25">
      <c r="B584" s="186" t="s">
        <v>80</v>
      </c>
      <c r="C584" s="186" t="s">
        <v>128</v>
      </c>
      <c r="D584" s="31"/>
      <c r="E584" s="186" t="s">
        <v>197</v>
      </c>
      <c r="F584" s="186" t="s">
        <v>197</v>
      </c>
      <c r="G584" s="186" t="s">
        <v>197</v>
      </c>
      <c r="H584" s="32" t="s">
        <v>197</v>
      </c>
      <c r="I584" s="553"/>
      <c r="J584" s="555"/>
      <c r="K584" s="556"/>
      <c r="N584" s="327"/>
    </row>
    <row r="585" spans="1:14" x14ac:dyDescent="0.25">
      <c r="B585" s="186"/>
      <c r="C585" s="186"/>
      <c r="D585" s="33"/>
      <c r="E585" s="16"/>
      <c r="F585" s="186"/>
      <c r="G585" s="186"/>
      <c r="H585" s="32"/>
      <c r="I585" s="30"/>
      <c r="J585" s="34"/>
      <c r="K585" s="269"/>
      <c r="N585" s="327"/>
    </row>
    <row r="586" spans="1:14" x14ac:dyDescent="0.25">
      <c r="B586" s="245">
        <f>Dez!F8</f>
        <v>42338</v>
      </c>
      <c r="C586" s="35">
        <f t="shared" si="7"/>
        <v>42338</v>
      </c>
      <c r="D586" s="17" t="str">
        <f>IF(AND(VLOOKUP(B586,Dez!B:AZ,8,FALSE)&gt;0,VLOOKUP(B586,Dez!B:AZ,6,FALSE)=""), CONCATENATE(TEXT(VLOOKUP(B586,Dez!B:AZ,7,FALSE),"hh:mm"), "-", TEXT(VLOOKUP(B586,Dez!B:AZ,8,FALSE),"[hh]:mm")," Uhr ", IF(VLOOKUP(B586,Dez!B:AZ,12,FALSE)&gt;0, CONCATENATE("und ",TEXT(VLOOKUP(B586,Dez!B:AZ,12,FALSE),"hh:mm"), "-", TEXT(VLOOKUP(B586,Dez!B:AZ,13,FALSE),"[hh]:mm")," Uhr "),"")), IF(VLOOKUP(B586,Dez!B:AZ,6,FALSE)="","",VLOOKUP(VLOOKUP(B586,Dez!B:AZ,6,FALSE),Legende_Code,2,FALSE)))</f>
        <v/>
      </c>
      <c r="E586" s="16" t="str">
        <f>IF(AND(VLOOKUP(B586,Dez!B:AZ,6,FALSE)="", WEEKDAY(B586,2)=6,VLOOKUP(B586,Dez!B:AZ,48,FALSE)&gt;0),VLOOKUP(B586,Dez!B:AZ,48,FALSE)*24,"")</f>
        <v/>
      </c>
      <c r="F586" s="16" t="str">
        <f>IF(AND(VLOOKUP(B586,Dez!B:AZ,6,FALSE)="", WEEKDAY(B586,2)=7,VLOOKUP(B586,Dez!B:AZ,49,FALSE)&gt;0),VLOOKUP(B586,Dez!B:AZ,49,FALSE)*24,"")</f>
        <v/>
      </c>
      <c r="G586" s="16" t="str">
        <f>IF(AND(VLOOKUP(B586,Dez!B:AZ,6,FALSE)="",VLOOKUP(B586,Dez!B:AZ,46,FALSE)&gt;0),VLOOKUP(B586,Dez!B:AZ,46,FALSE)*24,"")</f>
        <v/>
      </c>
      <c r="H586" s="36" t="str">
        <f>IF(AND(VLOOKUP(B586,Dez!B:AZ,6,FALSE)="",VLOOKUP(B586,Dez!B:AZ,50,FALSE)&gt;0),VLOOKUP(B586,Dez!B:AZ,50,FALSE)*24,"")</f>
        <v/>
      </c>
      <c r="I586" s="30" t="str">
        <f>IF(AND(NETWORKDAYS(B586,B586,Feiertage)=1,VLOOKUP(B586,Dez!B:AZ,6,FALSE)="U"),"Urlaub","")</f>
        <v/>
      </c>
      <c r="J586" s="34" t="str">
        <f ca="1">IF(AND(VLOOKUP(B586,Dez!B:AZ,6,FALSE)="",VLOOKUP(B586,Dez!B:AZ,22,FALSE)&lt;0),"Absetzen von","")</f>
        <v/>
      </c>
      <c r="K586" s="263"/>
      <c r="M586" s="316" t="str">
        <f ca="1">IF(VLOOKUP(B586,Dez!B:AZ,22,FALSE)&lt;&gt;0,VLOOKUP(B586,Dez!B:AZ,22,FALSE),"")</f>
        <v/>
      </c>
      <c r="N586" s="327"/>
    </row>
    <row r="587" spans="1:14" x14ac:dyDescent="0.25">
      <c r="B587" s="245">
        <f>Dez!F9</f>
        <v>42339</v>
      </c>
      <c r="C587" s="35">
        <f t="shared" si="7"/>
        <v>42339</v>
      </c>
      <c r="D587" s="17" t="str">
        <f>IF(AND(VLOOKUP(B587,Dez!B:AZ,8,FALSE)&gt;0,VLOOKUP(B587,Dez!B:AZ,6,FALSE)=""), CONCATENATE(TEXT(VLOOKUP(B587,Dez!B:AZ,7,FALSE),"hh:mm"), "-", TEXT(VLOOKUP(B587,Dez!B:AZ,8,FALSE),"[hh]:mm")," Uhr ", IF(VLOOKUP(B587,Dez!B:AZ,12,FALSE)&gt;0, CONCATENATE("und ",TEXT(VLOOKUP(B587,Dez!B:AZ,12,FALSE),"hh:mm"), "-", TEXT(VLOOKUP(B587,Dez!B:AZ,13,FALSE),"[hh]:mm")," Uhr "),"")), IF(VLOOKUP(B587,Dez!B:AZ,6,FALSE)="","",VLOOKUP(VLOOKUP(B587,Dez!B:AZ,6,FALSE),Legende_Code,2,FALSE)))</f>
        <v/>
      </c>
      <c r="E587" s="16" t="str">
        <f>IF(AND(VLOOKUP(B587,Dez!B:AZ,6,FALSE)="", WEEKDAY(B587,2)=6,VLOOKUP(B587,Dez!B:AZ,48,FALSE)&gt;0),VLOOKUP(B587,Dez!B:AZ,48,FALSE)*24,"")</f>
        <v/>
      </c>
      <c r="F587" s="16" t="str">
        <f>IF(AND(VLOOKUP(B587,Dez!B:AZ,6,FALSE)="", WEEKDAY(B587,2)=7,VLOOKUP(B587,Dez!B:AZ,49,FALSE)&gt;0),VLOOKUP(B587,Dez!B:AZ,49,FALSE)*24,"")</f>
        <v/>
      </c>
      <c r="G587" s="16" t="str">
        <f>IF(AND(VLOOKUP(B587,Dez!B:AZ,6,FALSE)="",VLOOKUP(B587,Dez!B:AZ,46,FALSE)&gt;0),VLOOKUP(B587,Dez!B:AZ,46,FALSE)*24,"")</f>
        <v/>
      </c>
      <c r="H587" s="36" t="str">
        <f>IF(AND(VLOOKUP(B587,Dez!B:AZ,6,FALSE)="",VLOOKUP(B587,Dez!B:AZ,50,FALSE)&gt;0),VLOOKUP(B587,Dez!B:AZ,50,FALSE)*24,"")</f>
        <v/>
      </c>
      <c r="I587" s="30" t="str">
        <f>IF(AND(NETWORKDAYS(B587,B587,Feiertage)=1,VLOOKUP(B587,Dez!B:AZ,6,FALSE)="U"),"Urlaub","")</f>
        <v/>
      </c>
      <c r="J587" s="34" t="str">
        <f ca="1">IF(AND(VLOOKUP(B587,Dez!B:AZ,6,FALSE)="",VLOOKUP(B587,Dez!B:AZ,22,FALSE)&lt;0),"Absetzen von","")</f>
        <v/>
      </c>
      <c r="K587" s="263"/>
      <c r="M587" s="316" t="str">
        <f ca="1">IF(VLOOKUP(B587,Dez!B:AZ,22,FALSE)&lt;&gt;0,VLOOKUP(B587,Dez!B:AZ,22,FALSE),"")</f>
        <v/>
      </c>
      <c r="N587" s="327"/>
    </row>
    <row r="588" spans="1:14" x14ac:dyDescent="0.25">
      <c r="B588" s="245">
        <f>Dez!F10</f>
        <v>42340</v>
      </c>
      <c r="C588" s="35">
        <f t="shared" si="7"/>
        <v>42340</v>
      </c>
      <c r="D588" s="17" t="str">
        <f>IF(AND(VLOOKUP(B588,Dez!B:AZ,8,FALSE)&gt;0,VLOOKUP(B588,Dez!B:AZ,6,FALSE)=""), CONCATENATE(TEXT(VLOOKUP(B588,Dez!B:AZ,7,FALSE),"hh:mm"), "-", TEXT(VLOOKUP(B588,Dez!B:AZ,8,FALSE),"[hh]:mm")," Uhr ", IF(VLOOKUP(B588,Dez!B:AZ,12,FALSE)&gt;0, CONCATENATE("und ",TEXT(VLOOKUP(B588,Dez!B:AZ,12,FALSE),"hh:mm"), "-", TEXT(VLOOKUP(B588,Dez!B:AZ,13,FALSE),"[hh]:mm")," Uhr "),"")), IF(VLOOKUP(B588,Dez!B:AZ,6,FALSE)="","",VLOOKUP(VLOOKUP(B588,Dez!B:AZ,6,FALSE),Legende_Code,2,FALSE)))</f>
        <v/>
      </c>
      <c r="E588" s="16" t="str">
        <f>IF(AND(VLOOKUP(B588,Dez!B:AZ,6,FALSE)="", WEEKDAY(B588,2)=6,VLOOKUP(B588,Dez!B:AZ,48,FALSE)&gt;0),VLOOKUP(B588,Dez!B:AZ,48,FALSE)*24,"")</f>
        <v/>
      </c>
      <c r="F588" s="16" t="str">
        <f>IF(AND(VLOOKUP(B588,Dez!B:AZ,6,FALSE)="", WEEKDAY(B588,2)=7,VLOOKUP(B588,Dez!B:AZ,49,FALSE)&gt;0),VLOOKUP(B588,Dez!B:AZ,49,FALSE)*24,"")</f>
        <v/>
      </c>
      <c r="G588" s="16" t="str">
        <f>IF(AND(VLOOKUP(B588,Dez!B:AZ,6,FALSE)="",VLOOKUP(B588,Dez!B:AZ,46,FALSE)&gt;0),VLOOKUP(B588,Dez!B:AZ,46,FALSE)*24,"")</f>
        <v/>
      </c>
      <c r="H588" s="36" t="str">
        <f>IF(AND(VLOOKUP(B588,Dez!B:AZ,6,FALSE)="",VLOOKUP(B588,Dez!B:AZ,50,FALSE)&gt;0),VLOOKUP(B588,Dez!B:AZ,50,FALSE)*24,"")</f>
        <v/>
      </c>
      <c r="I588" s="30" t="str">
        <f>IF(AND(NETWORKDAYS(B588,B588,Feiertage)=1,VLOOKUP(B588,Dez!B:AZ,6,FALSE)="U"),"Urlaub","")</f>
        <v/>
      </c>
      <c r="J588" s="34" t="str">
        <f ca="1">IF(AND(VLOOKUP(B588,Dez!B:AZ,6,FALSE)="",VLOOKUP(B588,Dez!B:AZ,22,FALSE)&lt;0),"Absetzen von","")</f>
        <v/>
      </c>
      <c r="K588" s="263"/>
      <c r="M588" s="316" t="str">
        <f ca="1">IF(VLOOKUP(B588,Dez!B:AZ,22,FALSE)&lt;&gt;0,VLOOKUP(B588,Dez!B:AZ,22,FALSE),"")</f>
        <v/>
      </c>
      <c r="N588" s="327"/>
    </row>
    <row r="589" spans="1:14" x14ac:dyDescent="0.25">
      <c r="B589" s="245">
        <f>Dez!F11</f>
        <v>42341</v>
      </c>
      <c r="C589" s="35">
        <f t="shared" si="7"/>
        <v>42341</v>
      </c>
      <c r="D589" s="17" t="str">
        <f>IF(AND(VLOOKUP(B589,Dez!B:AZ,8,FALSE)&gt;0,VLOOKUP(B589,Dez!B:AZ,6,FALSE)=""), CONCATENATE(TEXT(VLOOKUP(B589,Dez!B:AZ,7,FALSE),"hh:mm"), "-", TEXT(VLOOKUP(B589,Dez!B:AZ,8,FALSE),"[hh]:mm")," Uhr ", IF(VLOOKUP(B589,Dez!B:AZ,12,FALSE)&gt;0, CONCATENATE("und ",TEXT(VLOOKUP(B589,Dez!B:AZ,12,FALSE),"hh:mm"), "-", TEXT(VLOOKUP(B589,Dez!B:AZ,13,FALSE),"[hh]:mm")," Uhr "),"")), IF(VLOOKUP(B589,Dez!B:AZ,6,FALSE)="","",VLOOKUP(VLOOKUP(B589,Dez!B:AZ,6,FALSE),Legende_Code,2,FALSE)))</f>
        <v/>
      </c>
      <c r="E589" s="16" t="str">
        <f>IF(AND(VLOOKUP(B589,Dez!B:AZ,6,FALSE)="", WEEKDAY(B589,2)=6,VLOOKUP(B589,Dez!B:AZ,48,FALSE)&gt;0),VLOOKUP(B589,Dez!B:AZ,48,FALSE)*24,"")</f>
        <v/>
      </c>
      <c r="F589" s="16" t="str">
        <f>IF(AND(VLOOKUP(B589,Dez!B:AZ,6,FALSE)="", WEEKDAY(B589,2)=7,VLOOKUP(B589,Dez!B:AZ,49,FALSE)&gt;0),VLOOKUP(B589,Dez!B:AZ,49,FALSE)*24,"")</f>
        <v/>
      </c>
      <c r="G589" s="16" t="str">
        <f>IF(AND(VLOOKUP(B589,Dez!B:AZ,6,FALSE)="",VLOOKUP(B589,Dez!B:AZ,46,FALSE)&gt;0),VLOOKUP(B589,Dez!B:AZ,46,FALSE)*24,"")</f>
        <v/>
      </c>
      <c r="H589" s="36" t="str">
        <f>IF(AND(VLOOKUP(B589,Dez!B:AZ,6,FALSE)="",VLOOKUP(B589,Dez!B:AZ,50,FALSE)&gt;0),VLOOKUP(B589,Dez!B:AZ,50,FALSE)*24,"")</f>
        <v/>
      </c>
      <c r="I589" s="30" t="str">
        <f>IF(AND(NETWORKDAYS(B589,B589,Feiertage)=1,VLOOKUP(B589,Dez!B:AZ,6,FALSE)="U"),"Urlaub","")</f>
        <v/>
      </c>
      <c r="J589" s="34" t="str">
        <f ca="1">IF(AND(VLOOKUP(B589,Dez!B:AZ,6,FALSE)="",VLOOKUP(B589,Dez!B:AZ,22,FALSE)&lt;0),"Absetzen von","")</f>
        <v/>
      </c>
      <c r="K589" s="263"/>
      <c r="M589" s="316" t="str">
        <f ca="1">IF(VLOOKUP(B589,Dez!B:AZ,22,FALSE)&lt;&gt;0,VLOOKUP(B589,Dez!B:AZ,22,FALSE),"")</f>
        <v/>
      </c>
      <c r="N589" s="327"/>
    </row>
    <row r="590" spans="1:14" x14ac:dyDescent="0.25">
      <c r="B590" s="245">
        <f>Dez!F12</f>
        <v>42342</v>
      </c>
      <c r="C590" s="35">
        <f t="shared" si="7"/>
        <v>42342</v>
      </c>
      <c r="D590" s="17" t="str">
        <f>IF(AND(VLOOKUP(B590,Dez!B:AZ,8,FALSE)&gt;0,VLOOKUP(B590,Dez!B:AZ,6,FALSE)=""), CONCATENATE(TEXT(VLOOKUP(B590,Dez!B:AZ,7,FALSE),"hh:mm"), "-", TEXT(VLOOKUP(B590,Dez!B:AZ,8,FALSE),"[hh]:mm")," Uhr ", IF(VLOOKUP(B590,Dez!B:AZ,12,FALSE)&gt;0, CONCATENATE("und ",TEXT(VLOOKUP(B590,Dez!B:AZ,12,FALSE),"hh:mm"), "-", TEXT(VLOOKUP(B590,Dez!B:AZ,13,FALSE),"[hh]:mm")," Uhr "),"")), IF(VLOOKUP(B590,Dez!B:AZ,6,FALSE)="","",VLOOKUP(VLOOKUP(B590,Dez!B:AZ,6,FALSE),Legende_Code,2,FALSE)))</f>
        <v/>
      </c>
      <c r="E590" s="16" t="str">
        <f>IF(AND(VLOOKUP(B590,Dez!B:AZ,6,FALSE)="", WEEKDAY(B590,2)=6,VLOOKUP(B590,Dez!B:AZ,48,FALSE)&gt;0),VLOOKUP(B590,Dez!B:AZ,48,FALSE)*24,"")</f>
        <v/>
      </c>
      <c r="F590" s="16" t="str">
        <f>IF(AND(VLOOKUP(B590,Dez!B:AZ,6,FALSE)="", WEEKDAY(B590,2)=7,VLOOKUP(B590,Dez!B:AZ,49,FALSE)&gt;0),VLOOKUP(B590,Dez!B:AZ,49,FALSE)*24,"")</f>
        <v/>
      </c>
      <c r="G590" s="16" t="str">
        <f>IF(AND(VLOOKUP(B590,Dez!B:AZ,6,FALSE)="",VLOOKUP(B590,Dez!B:AZ,46,FALSE)&gt;0),VLOOKUP(B590,Dez!B:AZ,46,FALSE)*24,"")</f>
        <v/>
      </c>
      <c r="H590" s="36" t="str">
        <f>IF(AND(VLOOKUP(B590,Dez!B:AZ,6,FALSE)="",VLOOKUP(B590,Dez!B:AZ,50,FALSE)&gt;0),VLOOKUP(B590,Dez!B:AZ,50,FALSE)*24,"")</f>
        <v/>
      </c>
      <c r="I590" s="30" t="str">
        <f>IF(AND(NETWORKDAYS(B590,B590,Feiertage)=1,VLOOKUP(B590,Dez!B:AZ,6,FALSE)="U"),"Urlaub","")</f>
        <v/>
      </c>
      <c r="J590" s="34" t="str">
        <f ca="1">IF(AND(VLOOKUP(B590,Dez!B:AZ,6,FALSE)="",VLOOKUP(B590,Dez!B:AZ,22,FALSE)&lt;0),"Absetzen von","")</f>
        <v/>
      </c>
      <c r="K590" s="263"/>
      <c r="M590" s="316" t="str">
        <f ca="1">IF(VLOOKUP(B590,Dez!B:AZ,22,FALSE)&lt;&gt;0,VLOOKUP(B590,Dez!B:AZ,22,FALSE),"")</f>
        <v/>
      </c>
      <c r="N590" s="327"/>
    </row>
    <row r="591" spans="1:14" x14ac:dyDescent="0.25">
      <c r="B591" s="245">
        <f>Dez!F13</f>
        <v>42343</v>
      </c>
      <c r="C591" s="35">
        <f t="shared" si="7"/>
        <v>42343</v>
      </c>
      <c r="D591" s="17" t="str">
        <f>IF(AND(VLOOKUP(B591,Dez!B:AZ,8,FALSE)&gt;0,VLOOKUP(B591,Dez!B:AZ,6,FALSE)=""), CONCATENATE(TEXT(VLOOKUP(B591,Dez!B:AZ,7,FALSE),"hh:mm"), "-", TEXT(VLOOKUP(B591,Dez!B:AZ,8,FALSE),"[hh]:mm")," Uhr ", IF(VLOOKUP(B591,Dez!B:AZ,12,FALSE)&gt;0, CONCATENATE("und ",TEXT(VLOOKUP(B591,Dez!B:AZ,12,FALSE),"hh:mm"), "-", TEXT(VLOOKUP(B591,Dez!B:AZ,13,FALSE),"[hh]:mm")," Uhr "),"")), IF(VLOOKUP(B591,Dez!B:AZ,6,FALSE)="","",VLOOKUP(VLOOKUP(B591,Dez!B:AZ,6,FALSE),Legende_Code,2,FALSE)))</f>
        <v/>
      </c>
      <c r="E591" s="16" t="str">
        <f>IF(AND(VLOOKUP(B591,Dez!B:AZ,6,FALSE)="", WEEKDAY(B591,2)=6,VLOOKUP(B591,Dez!B:AZ,48,FALSE)&gt;0),VLOOKUP(B591,Dez!B:AZ,48,FALSE)*24,"")</f>
        <v/>
      </c>
      <c r="F591" s="16" t="str">
        <f>IF(AND(VLOOKUP(B591,Dez!B:AZ,6,FALSE)="", WEEKDAY(B591,2)=7,VLOOKUP(B591,Dez!B:AZ,49,FALSE)&gt;0),VLOOKUP(B591,Dez!B:AZ,49,FALSE)*24,"")</f>
        <v/>
      </c>
      <c r="G591" s="16" t="str">
        <f>IF(AND(VLOOKUP(B591,Dez!B:AZ,6,FALSE)="",VLOOKUP(B591,Dez!B:AZ,46,FALSE)&gt;0),VLOOKUP(B591,Dez!B:AZ,46,FALSE)*24,"")</f>
        <v/>
      </c>
      <c r="H591" s="36" t="str">
        <f>IF(AND(VLOOKUP(B591,Dez!B:AZ,6,FALSE)="",VLOOKUP(B591,Dez!B:AZ,50,FALSE)&gt;0),VLOOKUP(B591,Dez!B:AZ,50,FALSE)*24,"")</f>
        <v/>
      </c>
      <c r="I591" s="30" t="str">
        <f>IF(AND(NETWORKDAYS(B591,B591,Feiertage)=1,VLOOKUP(B591,Dez!B:AZ,6,FALSE)="U"),"Urlaub","")</f>
        <v/>
      </c>
      <c r="J591" s="34" t="str">
        <f ca="1">IF(AND(VLOOKUP(B591,Dez!B:AZ,6,FALSE)="",VLOOKUP(B591,Dez!B:AZ,22,FALSE)&lt;0),"Absetzen von","")</f>
        <v/>
      </c>
      <c r="K591" s="263"/>
      <c r="M591" s="316" t="str">
        <f ca="1">IF(VLOOKUP(B591,Dez!B:AZ,22,FALSE)&lt;&gt;0,VLOOKUP(B591,Dez!B:AZ,22,FALSE),"")</f>
        <v/>
      </c>
      <c r="N591" s="327"/>
    </row>
    <row r="592" spans="1:14" x14ac:dyDescent="0.25">
      <c r="B592" s="245">
        <f>Dez!F14</f>
        <v>42344</v>
      </c>
      <c r="C592" s="35">
        <f t="shared" si="7"/>
        <v>42344</v>
      </c>
      <c r="D592" s="17" t="str">
        <f>IF(AND(VLOOKUP(B592,Dez!B:AZ,8,FALSE)&gt;0,VLOOKUP(B592,Dez!B:AZ,6,FALSE)=""), CONCATENATE(TEXT(VLOOKUP(B592,Dez!B:AZ,7,FALSE),"hh:mm"), "-", TEXT(VLOOKUP(B592,Dez!B:AZ,8,FALSE),"[hh]:mm")," Uhr ", IF(VLOOKUP(B592,Dez!B:AZ,12,FALSE)&gt;0, CONCATENATE("und ",TEXT(VLOOKUP(B592,Dez!B:AZ,12,FALSE),"hh:mm"), "-", TEXT(VLOOKUP(B592,Dez!B:AZ,13,FALSE),"[hh]:mm")," Uhr "),"")), IF(VLOOKUP(B592,Dez!B:AZ,6,FALSE)="","",VLOOKUP(VLOOKUP(B592,Dez!B:AZ,6,FALSE),Legende_Code,2,FALSE)))</f>
        <v/>
      </c>
      <c r="E592" s="16" t="str">
        <f>IF(AND(VLOOKUP(B592,Dez!B:AZ,6,FALSE)="", WEEKDAY(B592,2)=6,VLOOKUP(B592,Dez!B:AZ,48,FALSE)&gt;0),VLOOKUP(B592,Dez!B:AZ,48,FALSE)*24,"")</f>
        <v/>
      </c>
      <c r="F592" s="16" t="str">
        <f>IF(AND(VLOOKUP(B592,Dez!B:AZ,6,FALSE)="", WEEKDAY(B592,2)=7,VLOOKUP(B592,Dez!B:AZ,49,FALSE)&gt;0),VLOOKUP(B592,Dez!B:AZ,49,FALSE)*24,"")</f>
        <v/>
      </c>
      <c r="G592" s="16" t="str">
        <f>IF(AND(VLOOKUP(B592,Dez!B:AZ,6,FALSE)="",VLOOKUP(B592,Dez!B:AZ,46,FALSE)&gt;0),VLOOKUP(B592,Dez!B:AZ,46,FALSE)*24,"")</f>
        <v/>
      </c>
      <c r="H592" s="36" t="str">
        <f>IF(AND(VLOOKUP(B592,Dez!B:AZ,6,FALSE)="",VLOOKUP(B592,Dez!B:AZ,50,FALSE)&gt;0),VLOOKUP(B592,Dez!B:AZ,50,FALSE)*24,"")</f>
        <v/>
      </c>
      <c r="I592" s="30" t="str">
        <f>IF(AND(NETWORKDAYS(B592,B592,Feiertage)=1,VLOOKUP(B592,Dez!B:AZ,6,FALSE)="U"),"Urlaub","")</f>
        <v/>
      </c>
      <c r="J592" s="34" t="str">
        <f ca="1">IF(AND(VLOOKUP(B592,Dez!B:AZ,6,FALSE)="",VLOOKUP(B592,Dez!B:AZ,22,FALSE)&lt;0),"Absetzen von","")</f>
        <v/>
      </c>
      <c r="K592" s="263"/>
      <c r="M592" s="316" t="str">
        <f ca="1">IF(VLOOKUP(B592,Dez!B:AZ,22,FALSE)&lt;&gt;0,VLOOKUP(B592,Dez!B:AZ,22,FALSE),"")</f>
        <v/>
      </c>
      <c r="N592" s="327"/>
    </row>
    <row r="593" spans="2:14" x14ac:dyDescent="0.25">
      <c r="B593" s="245">
        <f>Dez!F15</f>
        <v>42345</v>
      </c>
      <c r="C593" s="35">
        <f t="shared" si="7"/>
        <v>42345</v>
      </c>
      <c r="D593" s="17" t="str">
        <f>IF(AND(VLOOKUP(B593,Dez!B:AZ,8,FALSE)&gt;0,VLOOKUP(B593,Dez!B:AZ,6,FALSE)=""), CONCATENATE(TEXT(VLOOKUP(B593,Dez!B:AZ,7,FALSE),"hh:mm"), "-", TEXT(VLOOKUP(B593,Dez!B:AZ,8,FALSE),"[hh]:mm")," Uhr ", IF(VLOOKUP(B593,Dez!B:AZ,12,FALSE)&gt;0, CONCATENATE("und ",TEXT(VLOOKUP(B593,Dez!B:AZ,12,FALSE),"hh:mm"), "-", TEXT(VLOOKUP(B593,Dez!B:AZ,13,FALSE),"[hh]:mm")," Uhr "),"")), IF(VLOOKUP(B593,Dez!B:AZ,6,FALSE)="","",VLOOKUP(VLOOKUP(B593,Dez!B:AZ,6,FALSE),Legende_Code,2,FALSE)))</f>
        <v/>
      </c>
      <c r="E593" s="16" t="str">
        <f>IF(AND(VLOOKUP(B593,Dez!B:AZ,6,FALSE)="", WEEKDAY(B593,2)=6,VLOOKUP(B593,Dez!B:AZ,48,FALSE)&gt;0),VLOOKUP(B593,Dez!B:AZ,48,FALSE)*24,"")</f>
        <v/>
      </c>
      <c r="F593" s="16" t="str">
        <f>IF(AND(VLOOKUP(B593,Dez!B:AZ,6,FALSE)="", WEEKDAY(B593,2)=7,VLOOKUP(B593,Dez!B:AZ,49,FALSE)&gt;0),VLOOKUP(B593,Dez!B:AZ,49,FALSE)*24,"")</f>
        <v/>
      </c>
      <c r="G593" s="16" t="str">
        <f>IF(AND(VLOOKUP(B593,Dez!B:AZ,6,FALSE)="",VLOOKUP(B593,Dez!B:AZ,46,FALSE)&gt;0),VLOOKUP(B593,Dez!B:AZ,46,FALSE)*24,"")</f>
        <v/>
      </c>
      <c r="H593" s="36" t="str">
        <f>IF(AND(VLOOKUP(B593,Dez!B:AZ,6,FALSE)="",VLOOKUP(B593,Dez!B:AZ,50,FALSE)&gt;0),VLOOKUP(B593,Dez!B:AZ,50,FALSE)*24,"")</f>
        <v/>
      </c>
      <c r="I593" s="30" t="str">
        <f>IF(AND(NETWORKDAYS(B593,B593,Feiertage)=1,VLOOKUP(B593,Dez!B:AZ,6,FALSE)="U"),"Urlaub","")</f>
        <v/>
      </c>
      <c r="J593" s="34" t="str">
        <f ca="1">IF(AND(VLOOKUP(B593,Dez!B:AZ,6,FALSE)="",VLOOKUP(B593,Dez!B:AZ,22,FALSE)&lt;0),"Absetzen von","")</f>
        <v/>
      </c>
      <c r="K593" s="263"/>
      <c r="M593" s="316" t="str">
        <f ca="1">IF(VLOOKUP(B593,Dez!B:AZ,22,FALSE)&lt;&gt;0,VLOOKUP(B593,Dez!B:AZ,22,FALSE),"")</f>
        <v/>
      </c>
      <c r="N593" s="327"/>
    </row>
    <row r="594" spans="2:14" x14ac:dyDescent="0.25">
      <c r="B594" s="245">
        <f>Dez!F16</f>
        <v>42346</v>
      </c>
      <c r="C594" s="35">
        <f t="shared" si="7"/>
        <v>42346</v>
      </c>
      <c r="D594" s="17" t="str">
        <f>IF(AND(VLOOKUP(B594,Dez!B:AZ,8,FALSE)&gt;0,VLOOKUP(B594,Dez!B:AZ,6,FALSE)=""), CONCATENATE(TEXT(VLOOKUP(B594,Dez!B:AZ,7,FALSE),"hh:mm"), "-", TEXT(VLOOKUP(B594,Dez!B:AZ,8,FALSE),"[hh]:mm")," Uhr ", IF(VLOOKUP(B594,Dez!B:AZ,12,FALSE)&gt;0, CONCATENATE("und ",TEXT(VLOOKUP(B594,Dez!B:AZ,12,FALSE),"hh:mm"), "-", TEXT(VLOOKUP(B594,Dez!B:AZ,13,FALSE),"[hh]:mm")," Uhr "),"")), IF(VLOOKUP(B594,Dez!B:AZ,6,FALSE)="","",VLOOKUP(VLOOKUP(B594,Dez!B:AZ,6,FALSE),Legende_Code,2,FALSE)))</f>
        <v/>
      </c>
      <c r="E594" s="16" t="str">
        <f>IF(AND(VLOOKUP(B594,Dez!B:AZ,6,FALSE)="", WEEKDAY(B594,2)=6,VLOOKUP(B594,Dez!B:AZ,48,FALSE)&gt;0),VLOOKUP(B594,Dez!B:AZ,48,FALSE)*24,"")</f>
        <v/>
      </c>
      <c r="F594" s="16" t="str">
        <f>IF(AND(VLOOKUP(B594,Dez!B:AZ,6,FALSE)="", WEEKDAY(B594,2)=7,VLOOKUP(B594,Dez!B:AZ,49,FALSE)&gt;0),VLOOKUP(B594,Dez!B:AZ,49,FALSE)*24,"")</f>
        <v/>
      </c>
      <c r="G594" s="16" t="str">
        <f>IF(AND(VLOOKUP(B594,Dez!B:AZ,6,FALSE)="",VLOOKUP(B594,Dez!B:AZ,46,FALSE)&gt;0),VLOOKUP(B594,Dez!B:AZ,46,FALSE)*24,"")</f>
        <v/>
      </c>
      <c r="H594" s="36" t="str">
        <f>IF(AND(VLOOKUP(B594,Dez!B:AZ,6,FALSE)="",VLOOKUP(B594,Dez!B:AZ,50,FALSE)&gt;0),VLOOKUP(B594,Dez!B:AZ,50,FALSE)*24,"")</f>
        <v/>
      </c>
      <c r="I594" s="30" t="str">
        <f>IF(AND(NETWORKDAYS(B594,B594,Feiertage)=1,VLOOKUP(B594,Dez!B:AZ,6,FALSE)="U"),"Urlaub","")</f>
        <v/>
      </c>
      <c r="J594" s="34" t="str">
        <f ca="1">IF(AND(VLOOKUP(B594,Dez!B:AZ,6,FALSE)="",VLOOKUP(B594,Dez!B:AZ,22,FALSE)&lt;0),"Absetzen von","")</f>
        <v/>
      </c>
      <c r="K594" s="263"/>
      <c r="M594" s="316" t="str">
        <f ca="1">IF(VLOOKUP(B594,Dez!B:AZ,22,FALSE)&lt;&gt;0,VLOOKUP(B594,Dez!B:AZ,22,FALSE),"")</f>
        <v/>
      </c>
      <c r="N594" s="327"/>
    </row>
    <row r="595" spans="2:14" x14ac:dyDescent="0.25">
      <c r="B595" s="245">
        <f>Dez!F17</f>
        <v>42347</v>
      </c>
      <c r="C595" s="35">
        <f t="shared" si="7"/>
        <v>42347</v>
      </c>
      <c r="D595" s="17" t="str">
        <f>IF(AND(VLOOKUP(B595,Dez!B:AZ,8,FALSE)&gt;0,VLOOKUP(B595,Dez!B:AZ,6,FALSE)=""), CONCATENATE(TEXT(VLOOKUP(B595,Dez!B:AZ,7,FALSE),"hh:mm"), "-", TEXT(VLOOKUP(B595,Dez!B:AZ,8,FALSE),"[hh]:mm")," Uhr ", IF(VLOOKUP(B595,Dez!B:AZ,12,FALSE)&gt;0, CONCATENATE("und ",TEXT(VLOOKUP(B595,Dez!B:AZ,12,FALSE),"hh:mm"), "-", TEXT(VLOOKUP(B595,Dez!B:AZ,13,FALSE),"[hh]:mm")," Uhr "),"")), IF(VLOOKUP(B595,Dez!B:AZ,6,FALSE)="","",VLOOKUP(VLOOKUP(B595,Dez!B:AZ,6,FALSE),Legende_Code,2,FALSE)))</f>
        <v/>
      </c>
      <c r="E595" s="16" t="str">
        <f>IF(AND(VLOOKUP(B595,Dez!B:AZ,6,FALSE)="", WEEKDAY(B595,2)=6,VLOOKUP(B595,Dez!B:AZ,48,FALSE)&gt;0),VLOOKUP(B595,Dez!B:AZ,48,FALSE)*24,"")</f>
        <v/>
      </c>
      <c r="F595" s="16" t="str">
        <f>IF(AND(VLOOKUP(B595,Dez!B:AZ,6,FALSE)="", WEEKDAY(B595,2)=7,VLOOKUP(B595,Dez!B:AZ,49,FALSE)&gt;0),VLOOKUP(B595,Dez!B:AZ,49,FALSE)*24,"")</f>
        <v/>
      </c>
      <c r="G595" s="16" t="str">
        <f>IF(AND(VLOOKUP(B595,Dez!B:AZ,6,FALSE)="",VLOOKUP(B595,Dez!B:AZ,46,FALSE)&gt;0),VLOOKUP(B595,Dez!B:AZ,46,FALSE)*24,"")</f>
        <v/>
      </c>
      <c r="H595" s="36" t="str">
        <f>IF(AND(VLOOKUP(B595,Dez!B:AZ,6,FALSE)="",VLOOKUP(B595,Dez!B:AZ,50,FALSE)&gt;0),VLOOKUP(B595,Dez!B:AZ,50,FALSE)*24,"")</f>
        <v/>
      </c>
      <c r="I595" s="30" t="str">
        <f>IF(AND(NETWORKDAYS(B595,B595,Feiertage)=1,VLOOKUP(B595,Dez!B:AZ,6,FALSE)="U"),"Urlaub","")</f>
        <v/>
      </c>
      <c r="J595" s="34" t="str">
        <f ca="1">IF(AND(VLOOKUP(B595,Dez!B:AZ,6,FALSE)="",VLOOKUP(B595,Dez!B:AZ,22,FALSE)&lt;0),"Absetzen von","")</f>
        <v/>
      </c>
      <c r="K595" s="263"/>
      <c r="M595" s="316" t="str">
        <f ca="1">IF(VLOOKUP(B595,Dez!B:AZ,22,FALSE)&lt;&gt;0,VLOOKUP(B595,Dez!B:AZ,22,FALSE),"")</f>
        <v/>
      </c>
      <c r="N595" s="327"/>
    </row>
    <row r="596" spans="2:14" x14ac:dyDescent="0.25">
      <c r="B596" s="245">
        <f>Dez!F18</f>
        <v>42348</v>
      </c>
      <c r="C596" s="35">
        <f t="shared" si="7"/>
        <v>42348</v>
      </c>
      <c r="D596" s="17" t="str">
        <f>IF(AND(VLOOKUP(B596,Dez!B:AZ,8,FALSE)&gt;0,VLOOKUP(B596,Dez!B:AZ,6,FALSE)=""), CONCATENATE(TEXT(VLOOKUP(B596,Dez!B:AZ,7,FALSE),"hh:mm"), "-", TEXT(VLOOKUP(B596,Dez!B:AZ,8,FALSE),"[hh]:mm")," Uhr ", IF(VLOOKUP(B596,Dez!B:AZ,12,FALSE)&gt;0, CONCATENATE("und ",TEXT(VLOOKUP(B596,Dez!B:AZ,12,FALSE),"hh:mm"), "-", TEXT(VLOOKUP(B596,Dez!B:AZ,13,FALSE),"[hh]:mm")," Uhr "),"")), IF(VLOOKUP(B596,Dez!B:AZ,6,FALSE)="","",VLOOKUP(VLOOKUP(B596,Dez!B:AZ,6,FALSE),Legende_Code,2,FALSE)))</f>
        <v/>
      </c>
      <c r="E596" s="16" t="str">
        <f>IF(AND(VLOOKUP(B596,Dez!B:AZ,6,FALSE)="", WEEKDAY(B596,2)=6,VLOOKUP(B596,Dez!B:AZ,48,FALSE)&gt;0),VLOOKUP(B596,Dez!B:AZ,48,FALSE)*24,"")</f>
        <v/>
      </c>
      <c r="F596" s="16" t="str">
        <f>IF(AND(VLOOKUP(B596,Dez!B:AZ,6,FALSE)="", WEEKDAY(B596,2)=7,VLOOKUP(B596,Dez!B:AZ,49,FALSE)&gt;0),VLOOKUP(B596,Dez!B:AZ,49,FALSE)*24,"")</f>
        <v/>
      </c>
      <c r="G596" s="16" t="str">
        <f>IF(AND(VLOOKUP(B596,Dez!B:AZ,6,FALSE)="",VLOOKUP(B596,Dez!B:AZ,46,FALSE)&gt;0),VLOOKUP(B596,Dez!B:AZ,46,FALSE)*24,"")</f>
        <v/>
      </c>
      <c r="H596" s="36" t="str">
        <f>IF(AND(VLOOKUP(B596,Dez!B:AZ,6,FALSE)="",VLOOKUP(B596,Dez!B:AZ,50,FALSE)&gt;0),VLOOKUP(B596,Dez!B:AZ,50,FALSE)*24,"")</f>
        <v/>
      </c>
      <c r="I596" s="30" t="str">
        <f>IF(AND(NETWORKDAYS(B596,B596,Feiertage)=1,VLOOKUP(B596,Dez!B:AZ,6,FALSE)="U"),"Urlaub","")</f>
        <v/>
      </c>
      <c r="J596" s="34" t="str">
        <f ca="1">IF(AND(VLOOKUP(B596,Dez!B:AZ,6,FALSE)="",VLOOKUP(B596,Dez!B:AZ,22,FALSE)&lt;0),"Absetzen von","")</f>
        <v/>
      </c>
      <c r="K596" s="263"/>
      <c r="M596" s="316" t="str">
        <f ca="1">IF(VLOOKUP(B596,Dez!B:AZ,22,FALSE)&lt;&gt;0,VLOOKUP(B596,Dez!B:AZ,22,FALSE),"")</f>
        <v/>
      </c>
      <c r="N596" s="327"/>
    </row>
    <row r="597" spans="2:14" x14ac:dyDescent="0.25">
      <c r="B597" s="245">
        <f>Dez!F19</f>
        <v>42349</v>
      </c>
      <c r="C597" s="35">
        <f t="shared" si="7"/>
        <v>42349</v>
      </c>
      <c r="D597" s="17" t="str">
        <f>IF(AND(VLOOKUP(B597,Dez!B:AZ,8,FALSE)&gt;0,VLOOKUP(B597,Dez!B:AZ,6,FALSE)=""), CONCATENATE(TEXT(VLOOKUP(B597,Dez!B:AZ,7,FALSE),"hh:mm"), "-", TEXT(VLOOKUP(B597,Dez!B:AZ,8,FALSE),"[hh]:mm")," Uhr ", IF(VLOOKUP(B597,Dez!B:AZ,12,FALSE)&gt;0, CONCATENATE("und ",TEXT(VLOOKUP(B597,Dez!B:AZ,12,FALSE),"hh:mm"), "-", TEXT(VLOOKUP(B597,Dez!B:AZ,13,FALSE),"[hh]:mm")," Uhr "),"")), IF(VLOOKUP(B597,Dez!B:AZ,6,FALSE)="","",VLOOKUP(VLOOKUP(B597,Dez!B:AZ,6,FALSE),Legende_Code,2,FALSE)))</f>
        <v/>
      </c>
      <c r="E597" s="16" t="str">
        <f>IF(AND(VLOOKUP(B597,Dez!B:AZ,6,FALSE)="", WEEKDAY(B597,2)=6,VLOOKUP(B597,Dez!B:AZ,48,FALSE)&gt;0),VLOOKUP(B597,Dez!B:AZ,48,FALSE)*24,"")</f>
        <v/>
      </c>
      <c r="F597" s="16" t="str">
        <f>IF(AND(VLOOKUP(B597,Dez!B:AZ,6,FALSE)="", WEEKDAY(B597,2)=7,VLOOKUP(B597,Dez!B:AZ,49,FALSE)&gt;0),VLOOKUP(B597,Dez!B:AZ,49,FALSE)*24,"")</f>
        <v/>
      </c>
      <c r="G597" s="16" t="str">
        <f>IF(AND(VLOOKUP(B597,Dez!B:AZ,6,FALSE)="",VLOOKUP(B597,Dez!B:AZ,46,FALSE)&gt;0),VLOOKUP(B597,Dez!B:AZ,46,FALSE)*24,"")</f>
        <v/>
      </c>
      <c r="H597" s="36" t="str">
        <f>IF(AND(VLOOKUP(B597,Dez!B:AZ,6,FALSE)="",VLOOKUP(B597,Dez!B:AZ,50,FALSE)&gt;0),VLOOKUP(B597,Dez!B:AZ,50,FALSE)*24,"")</f>
        <v/>
      </c>
      <c r="I597" s="30" t="str">
        <f>IF(AND(NETWORKDAYS(B597,B597,Feiertage)=1,VLOOKUP(B597,Dez!B:AZ,6,FALSE)="U"),"Urlaub","")</f>
        <v/>
      </c>
      <c r="J597" s="34" t="str">
        <f ca="1">IF(AND(VLOOKUP(B597,Dez!B:AZ,6,FALSE)="",VLOOKUP(B597,Dez!B:AZ,22,FALSE)&lt;0),"Absetzen von","")</f>
        <v/>
      </c>
      <c r="K597" s="263"/>
      <c r="M597" s="316" t="str">
        <f ca="1">IF(VLOOKUP(B597,Dez!B:AZ,22,FALSE)&lt;&gt;0,VLOOKUP(B597,Dez!B:AZ,22,FALSE),"")</f>
        <v/>
      </c>
      <c r="N597" s="327"/>
    </row>
    <row r="598" spans="2:14" x14ac:dyDescent="0.25">
      <c r="B598" s="245">
        <f>Dez!F20</f>
        <v>42350</v>
      </c>
      <c r="C598" s="35">
        <f t="shared" si="7"/>
        <v>42350</v>
      </c>
      <c r="D598" s="17" t="str">
        <f>IF(AND(VLOOKUP(B598,Dez!B:AZ,8,FALSE)&gt;0,VLOOKUP(B598,Dez!B:AZ,6,FALSE)=""), CONCATENATE(TEXT(VLOOKUP(B598,Dez!B:AZ,7,FALSE),"hh:mm"), "-", TEXT(VLOOKUP(B598,Dez!B:AZ,8,FALSE),"[hh]:mm")," Uhr ", IF(VLOOKUP(B598,Dez!B:AZ,12,FALSE)&gt;0, CONCATENATE("und ",TEXT(VLOOKUP(B598,Dez!B:AZ,12,FALSE),"hh:mm"), "-", TEXT(VLOOKUP(B598,Dez!B:AZ,13,FALSE),"[hh]:mm")," Uhr "),"")), IF(VLOOKUP(B598,Dez!B:AZ,6,FALSE)="","",VLOOKUP(VLOOKUP(B598,Dez!B:AZ,6,FALSE),Legende_Code,2,FALSE)))</f>
        <v/>
      </c>
      <c r="E598" s="16" t="str">
        <f>IF(AND(VLOOKUP(B598,Dez!B:AZ,6,FALSE)="", WEEKDAY(B598,2)=6,VLOOKUP(B598,Dez!B:AZ,48,FALSE)&gt;0),VLOOKUP(B598,Dez!B:AZ,48,FALSE)*24,"")</f>
        <v/>
      </c>
      <c r="F598" s="16" t="str">
        <f>IF(AND(VLOOKUP(B598,Dez!B:AZ,6,FALSE)="", WEEKDAY(B598,2)=7,VLOOKUP(B598,Dez!B:AZ,49,FALSE)&gt;0),VLOOKUP(B598,Dez!B:AZ,49,FALSE)*24,"")</f>
        <v/>
      </c>
      <c r="G598" s="16" t="str">
        <f>IF(AND(VLOOKUP(B598,Dez!B:AZ,6,FALSE)="",VLOOKUP(B598,Dez!B:AZ,46,FALSE)&gt;0),VLOOKUP(B598,Dez!B:AZ,46,FALSE)*24,"")</f>
        <v/>
      </c>
      <c r="H598" s="36" t="str">
        <f>IF(AND(VLOOKUP(B598,Dez!B:AZ,6,FALSE)="",VLOOKUP(B598,Dez!B:AZ,50,FALSE)&gt;0),VLOOKUP(B598,Dez!B:AZ,50,FALSE)*24,"")</f>
        <v/>
      </c>
      <c r="I598" s="30" t="str">
        <f>IF(AND(NETWORKDAYS(B598,B598,Feiertage)=1,VLOOKUP(B598,Dez!B:AZ,6,FALSE)="U"),"Urlaub","")</f>
        <v/>
      </c>
      <c r="J598" s="34" t="str">
        <f ca="1">IF(AND(VLOOKUP(B598,Dez!B:AZ,6,FALSE)="",VLOOKUP(B598,Dez!B:AZ,22,FALSE)&lt;0),"Absetzen von","")</f>
        <v/>
      </c>
      <c r="K598" s="263"/>
      <c r="M598" s="316" t="str">
        <f ca="1">IF(VLOOKUP(B598,Dez!B:AZ,22,FALSE)&lt;&gt;0,VLOOKUP(B598,Dez!B:AZ,22,FALSE),"")</f>
        <v/>
      </c>
      <c r="N598" s="327"/>
    </row>
    <row r="599" spans="2:14" x14ac:dyDescent="0.25">
      <c r="B599" s="245">
        <f>Dez!F21</f>
        <v>42351</v>
      </c>
      <c r="C599" s="35">
        <f t="shared" si="7"/>
        <v>42351</v>
      </c>
      <c r="D599" s="17" t="str">
        <f>IF(AND(VLOOKUP(B599,Dez!B:AZ,8,FALSE)&gt;0,VLOOKUP(B599,Dez!B:AZ,6,FALSE)=""), CONCATENATE(TEXT(VLOOKUP(B599,Dez!B:AZ,7,FALSE),"hh:mm"), "-", TEXT(VLOOKUP(B599,Dez!B:AZ,8,FALSE),"[hh]:mm")," Uhr ", IF(VLOOKUP(B599,Dez!B:AZ,12,FALSE)&gt;0, CONCATENATE("und ",TEXT(VLOOKUP(B599,Dez!B:AZ,12,FALSE),"hh:mm"), "-", TEXT(VLOOKUP(B599,Dez!B:AZ,13,FALSE),"[hh]:mm")," Uhr "),"")), IF(VLOOKUP(B599,Dez!B:AZ,6,FALSE)="","",VLOOKUP(VLOOKUP(B599,Dez!B:AZ,6,FALSE),Legende_Code,2,FALSE)))</f>
        <v/>
      </c>
      <c r="E599" s="16" t="str">
        <f>IF(AND(VLOOKUP(B599,Dez!B:AZ,6,FALSE)="", WEEKDAY(B599,2)=6,VLOOKUP(B599,Dez!B:AZ,48,FALSE)&gt;0),VLOOKUP(B599,Dez!B:AZ,48,FALSE)*24,"")</f>
        <v/>
      </c>
      <c r="F599" s="16" t="str">
        <f>IF(AND(VLOOKUP(B599,Dez!B:AZ,6,FALSE)="", WEEKDAY(B599,2)=7,VLOOKUP(B599,Dez!B:AZ,49,FALSE)&gt;0),VLOOKUP(B599,Dez!B:AZ,49,FALSE)*24,"")</f>
        <v/>
      </c>
      <c r="G599" s="16" t="str">
        <f>IF(AND(VLOOKUP(B599,Dez!B:AZ,6,FALSE)="",VLOOKUP(B599,Dez!B:AZ,46,FALSE)&gt;0),VLOOKUP(B599,Dez!B:AZ,46,FALSE)*24,"")</f>
        <v/>
      </c>
      <c r="H599" s="36" t="str">
        <f>IF(AND(VLOOKUP(B599,Dez!B:AZ,6,FALSE)="",VLOOKUP(B599,Dez!B:AZ,50,FALSE)&gt;0),VLOOKUP(B599,Dez!B:AZ,50,FALSE)*24,"")</f>
        <v/>
      </c>
      <c r="I599" s="30" t="str">
        <f>IF(AND(NETWORKDAYS(B599,B599,Feiertage)=1,VLOOKUP(B599,Dez!B:AZ,6,FALSE)="U"),"Urlaub","")</f>
        <v/>
      </c>
      <c r="J599" s="34" t="str">
        <f ca="1">IF(AND(VLOOKUP(B599,Dez!B:AZ,6,FALSE)="",VLOOKUP(B599,Dez!B:AZ,22,FALSE)&lt;0),"Absetzen von","")</f>
        <v/>
      </c>
      <c r="K599" s="263"/>
      <c r="M599" s="316" t="str">
        <f ca="1">IF(VLOOKUP(B599,Dez!B:AZ,22,FALSE)&lt;&gt;0,VLOOKUP(B599,Dez!B:AZ,22,FALSE),"")</f>
        <v/>
      </c>
      <c r="N599" s="327"/>
    </row>
    <row r="600" spans="2:14" x14ac:dyDescent="0.25">
      <c r="B600" s="245">
        <f>Dez!F22</f>
        <v>42352</v>
      </c>
      <c r="C600" s="35">
        <f t="shared" si="7"/>
        <v>42352</v>
      </c>
      <c r="D600" s="17" t="str">
        <f>IF(AND(VLOOKUP(B600,Dez!B:AZ,8,FALSE)&gt;0,VLOOKUP(B600,Dez!B:AZ,6,FALSE)=""), CONCATENATE(TEXT(VLOOKUP(B600,Dez!B:AZ,7,FALSE),"hh:mm"), "-", TEXT(VLOOKUP(B600,Dez!B:AZ,8,FALSE),"[hh]:mm")," Uhr ", IF(VLOOKUP(B600,Dez!B:AZ,12,FALSE)&gt;0, CONCATENATE("und ",TEXT(VLOOKUP(B600,Dez!B:AZ,12,FALSE),"hh:mm"), "-", TEXT(VLOOKUP(B600,Dez!B:AZ,13,FALSE),"[hh]:mm")," Uhr "),"")), IF(VLOOKUP(B600,Dez!B:AZ,6,FALSE)="","",VLOOKUP(VLOOKUP(B600,Dez!B:AZ,6,FALSE),Legende_Code,2,FALSE)))</f>
        <v/>
      </c>
      <c r="E600" s="16" t="str">
        <f>IF(AND(VLOOKUP(B600,Dez!B:AZ,6,FALSE)="", WEEKDAY(B600,2)=6,VLOOKUP(B600,Dez!B:AZ,48,FALSE)&gt;0),VLOOKUP(B600,Dez!B:AZ,48,FALSE)*24,"")</f>
        <v/>
      </c>
      <c r="F600" s="16" t="str">
        <f>IF(AND(VLOOKUP(B600,Dez!B:AZ,6,FALSE)="", WEEKDAY(B600,2)=7,VLOOKUP(B600,Dez!B:AZ,49,FALSE)&gt;0),VLOOKUP(B600,Dez!B:AZ,49,FALSE)*24,"")</f>
        <v/>
      </c>
      <c r="G600" s="16" t="str">
        <f>IF(AND(VLOOKUP(B600,Dez!B:AZ,6,FALSE)="",VLOOKUP(B600,Dez!B:AZ,46,FALSE)&gt;0),VLOOKUP(B600,Dez!B:AZ,46,FALSE)*24,"")</f>
        <v/>
      </c>
      <c r="H600" s="36" t="str">
        <f>IF(AND(VLOOKUP(B600,Dez!B:AZ,6,FALSE)="",VLOOKUP(B600,Dez!B:AZ,50,FALSE)&gt;0),VLOOKUP(B600,Dez!B:AZ,50,FALSE)*24,"")</f>
        <v/>
      </c>
      <c r="I600" s="30" t="str">
        <f>IF(AND(NETWORKDAYS(B600,B600,Feiertage)=1,VLOOKUP(B600,Dez!B:AZ,6,FALSE)="U"),"Urlaub","")</f>
        <v/>
      </c>
      <c r="J600" s="34" t="str">
        <f ca="1">IF(AND(VLOOKUP(B600,Dez!B:AZ,6,FALSE)="",VLOOKUP(B600,Dez!B:AZ,22,FALSE)&lt;0),"Absetzen von","")</f>
        <v/>
      </c>
      <c r="K600" s="263"/>
      <c r="M600" s="316" t="str">
        <f ca="1">IF(VLOOKUP(B600,Dez!B:AZ,22,FALSE)&lt;&gt;0,VLOOKUP(B600,Dez!B:AZ,22,FALSE),"")</f>
        <v/>
      </c>
      <c r="N600" s="327"/>
    </row>
    <row r="601" spans="2:14" x14ac:dyDescent="0.25">
      <c r="B601" s="245">
        <f>Dez!F23</f>
        <v>42353</v>
      </c>
      <c r="C601" s="35">
        <f t="shared" si="7"/>
        <v>42353</v>
      </c>
      <c r="D601" s="17" t="str">
        <f>IF(AND(VLOOKUP(B601,Dez!B:AZ,8,FALSE)&gt;0,VLOOKUP(B601,Dez!B:AZ,6,FALSE)=""), CONCATENATE(TEXT(VLOOKUP(B601,Dez!B:AZ,7,FALSE),"hh:mm"), "-", TEXT(VLOOKUP(B601,Dez!B:AZ,8,FALSE),"[hh]:mm")," Uhr ", IF(VLOOKUP(B601,Dez!B:AZ,12,FALSE)&gt;0, CONCATENATE("und ",TEXT(VLOOKUP(B601,Dez!B:AZ,12,FALSE),"hh:mm"), "-", TEXT(VLOOKUP(B601,Dez!B:AZ,13,FALSE),"[hh]:mm")," Uhr "),"")), IF(VLOOKUP(B601,Dez!B:AZ,6,FALSE)="","",VLOOKUP(VLOOKUP(B601,Dez!B:AZ,6,FALSE),Legende_Code,2,FALSE)))</f>
        <v/>
      </c>
      <c r="E601" s="16" t="str">
        <f>IF(AND(VLOOKUP(B601,Dez!B:AZ,6,FALSE)="", WEEKDAY(B601,2)=6,VLOOKUP(B601,Dez!B:AZ,48,FALSE)&gt;0),VLOOKUP(B601,Dez!B:AZ,48,FALSE)*24,"")</f>
        <v/>
      </c>
      <c r="F601" s="16" t="str">
        <f>IF(AND(VLOOKUP(B601,Dez!B:AZ,6,FALSE)="", WEEKDAY(B601,2)=7,VLOOKUP(B601,Dez!B:AZ,49,FALSE)&gt;0),VLOOKUP(B601,Dez!B:AZ,49,FALSE)*24,"")</f>
        <v/>
      </c>
      <c r="G601" s="16" t="str">
        <f>IF(AND(VLOOKUP(B601,Dez!B:AZ,6,FALSE)="",VLOOKUP(B601,Dez!B:AZ,46,FALSE)&gt;0),VLOOKUP(B601,Dez!B:AZ,46,FALSE)*24,"")</f>
        <v/>
      </c>
      <c r="H601" s="36" t="str">
        <f>IF(AND(VLOOKUP(B601,Dez!B:AZ,6,FALSE)="",VLOOKUP(B601,Dez!B:AZ,50,FALSE)&gt;0),VLOOKUP(B601,Dez!B:AZ,50,FALSE)*24,"")</f>
        <v/>
      </c>
      <c r="I601" s="30" t="str">
        <f>IF(AND(NETWORKDAYS(B601,B601,Feiertage)=1,VLOOKUP(B601,Dez!B:AZ,6,FALSE)="U"),"Urlaub","")</f>
        <v/>
      </c>
      <c r="J601" s="34" t="str">
        <f ca="1">IF(AND(VLOOKUP(B601,Dez!B:AZ,6,FALSE)="",VLOOKUP(B601,Dez!B:AZ,22,FALSE)&lt;0),"Absetzen von","")</f>
        <v/>
      </c>
      <c r="K601" s="263"/>
      <c r="M601" s="316" t="str">
        <f ca="1">IF(VLOOKUP(B601,Dez!B:AZ,22,FALSE)&lt;&gt;0,VLOOKUP(B601,Dez!B:AZ,22,FALSE),"")</f>
        <v/>
      </c>
      <c r="N601" s="327"/>
    </row>
    <row r="602" spans="2:14" x14ac:dyDescent="0.25">
      <c r="B602" s="245">
        <f>Dez!F24</f>
        <v>42354</v>
      </c>
      <c r="C602" s="35">
        <f t="shared" si="7"/>
        <v>42354</v>
      </c>
      <c r="D602" s="17" t="str">
        <f>IF(AND(VLOOKUP(B602,Dez!B:AZ,8,FALSE)&gt;0,VLOOKUP(B602,Dez!B:AZ,6,FALSE)=""), CONCATENATE(TEXT(VLOOKUP(B602,Dez!B:AZ,7,FALSE),"hh:mm"), "-", TEXT(VLOOKUP(B602,Dez!B:AZ,8,FALSE),"[hh]:mm")," Uhr ", IF(VLOOKUP(B602,Dez!B:AZ,12,FALSE)&gt;0, CONCATENATE("und ",TEXT(VLOOKUP(B602,Dez!B:AZ,12,FALSE),"hh:mm"), "-", TEXT(VLOOKUP(B602,Dez!B:AZ,13,FALSE),"[hh]:mm")," Uhr "),"")), IF(VLOOKUP(B602,Dez!B:AZ,6,FALSE)="","",VLOOKUP(VLOOKUP(B602,Dez!B:AZ,6,FALSE),Legende_Code,2,FALSE)))</f>
        <v/>
      </c>
      <c r="E602" s="16" t="str">
        <f>IF(AND(VLOOKUP(B602,Dez!B:AZ,6,FALSE)="", WEEKDAY(B602,2)=6,VLOOKUP(B602,Dez!B:AZ,48,FALSE)&gt;0),VLOOKUP(B602,Dez!B:AZ,48,FALSE)*24,"")</f>
        <v/>
      </c>
      <c r="F602" s="16" t="str">
        <f>IF(AND(VLOOKUP(B602,Dez!B:AZ,6,FALSE)="", WEEKDAY(B602,2)=7,VLOOKUP(B602,Dez!B:AZ,49,FALSE)&gt;0),VLOOKUP(B602,Dez!B:AZ,49,FALSE)*24,"")</f>
        <v/>
      </c>
      <c r="G602" s="16" t="str">
        <f>IF(AND(VLOOKUP(B602,Dez!B:AZ,6,FALSE)="",VLOOKUP(B602,Dez!B:AZ,46,FALSE)&gt;0),VLOOKUP(B602,Dez!B:AZ,46,FALSE)*24,"")</f>
        <v/>
      </c>
      <c r="H602" s="36" t="str">
        <f>IF(AND(VLOOKUP(B602,Dez!B:AZ,6,FALSE)="",VLOOKUP(B602,Dez!B:AZ,50,FALSE)&gt;0),VLOOKUP(B602,Dez!B:AZ,50,FALSE)*24,"")</f>
        <v/>
      </c>
      <c r="I602" s="30" t="str">
        <f>IF(AND(NETWORKDAYS(B602,B602,Feiertage)=1,VLOOKUP(B602,Dez!B:AZ,6,FALSE)="U"),"Urlaub","")</f>
        <v/>
      </c>
      <c r="J602" s="34" t="str">
        <f ca="1">IF(AND(VLOOKUP(B602,Dez!B:AZ,6,FALSE)="",VLOOKUP(B602,Dez!B:AZ,22,FALSE)&lt;0),"Absetzen von","")</f>
        <v/>
      </c>
      <c r="K602" s="263"/>
      <c r="M602" s="316" t="str">
        <f ca="1">IF(VLOOKUP(B602,Dez!B:AZ,22,FALSE)&lt;&gt;0,VLOOKUP(B602,Dez!B:AZ,22,FALSE),"")</f>
        <v/>
      </c>
      <c r="N602" s="327"/>
    </row>
    <row r="603" spans="2:14" x14ac:dyDescent="0.25">
      <c r="B603" s="245">
        <f>Dez!F25</f>
        <v>42355</v>
      </c>
      <c r="C603" s="35">
        <f t="shared" si="7"/>
        <v>42355</v>
      </c>
      <c r="D603" s="17" t="str">
        <f>IF(AND(VLOOKUP(B603,Dez!B:AZ,8,FALSE)&gt;0,VLOOKUP(B603,Dez!B:AZ,6,FALSE)=""), CONCATENATE(TEXT(VLOOKUP(B603,Dez!B:AZ,7,FALSE),"hh:mm"), "-", TEXT(VLOOKUP(B603,Dez!B:AZ,8,FALSE),"[hh]:mm")," Uhr ", IF(VLOOKUP(B603,Dez!B:AZ,12,FALSE)&gt;0, CONCATENATE("und ",TEXT(VLOOKUP(B603,Dez!B:AZ,12,FALSE),"hh:mm"), "-", TEXT(VLOOKUP(B603,Dez!B:AZ,13,FALSE),"[hh]:mm")," Uhr "),"")), IF(VLOOKUP(B603,Dez!B:AZ,6,FALSE)="","",VLOOKUP(VLOOKUP(B603,Dez!B:AZ,6,FALSE),Legende_Code,2,FALSE)))</f>
        <v/>
      </c>
      <c r="E603" s="16" t="str">
        <f>IF(AND(VLOOKUP(B603,Dez!B:AZ,6,FALSE)="", WEEKDAY(B603,2)=6,VLOOKUP(B603,Dez!B:AZ,48,FALSE)&gt;0),VLOOKUP(B603,Dez!B:AZ,48,FALSE)*24,"")</f>
        <v/>
      </c>
      <c r="F603" s="16" t="str">
        <f>IF(AND(VLOOKUP(B603,Dez!B:AZ,6,FALSE)="", WEEKDAY(B603,2)=7,VLOOKUP(B603,Dez!B:AZ,49,FALSE)&gt;0),VLOOKUP(B603,Dez!B:AZ,49,FALSE)*24,"")</f>
        <v/>
      </c>
      <c r="G603" s="16" t="str">
        <f>IF(AND(VLOOKUP(B603,Dez!B:AZ,6,FALSE)="",VLOOKUP(B603,Dez!B:AZ,46,FALSE)&gt;0),VLOOKUP(B603,Dez!B:AZ,46,FALSE)*24,"")</f>
        <v/>
      </c>
      <c r="H603" s="36" t="str">
        <f>IF(AND(VLOOKUP(B603,Dez!B:AZ,6,FALSE)="",VLOOKUP(B603,Dez!B:AZ,50,FALSE)&gt;0),VLOOKUP(B603,Dez!B:AZ,50,FALSE)*24,"")</f>
        <v/>
      </c>
      <c r="I603" s="30" t="str">
        <f>IF(AND(NETWORKDAYS(B603,B603,Feiertage)=1,VLOOKUP(B603,Dez!B:AZ,6,FALSE)="U"),"Urlaub","")</f>
        <v/>
      </c>
      <c r="J603" s="34" t="str">
        <f ca="1">IF(AND(VLOOKUP(B603,Dez!B:AZ,6,FALSE)="",VLOOKUP(B603,Dez!B:AZ,22,FALSE)&lt;0),"Absetzen von","")</f>
        <v/>
      </c>
      <c r="K603" s="263"/>
      <c r="M603" s="316" t="str">
        <f ca="1">IF(VLOOKUP(B603,Dez!B:AZ,22,FALSE)&lt;&gt;0,VLOOKUP(B603,Dez!B:AZ,22,FALSE),"")</f>
        <v/>
      </c>
      <c r="N603" s="327"/>
    </row>
    <row r="604" spans="2:14" x14ac:dyDescent="0.25">
      <c r="B604" s="245">
        <f>Dez!F26</f>
        <v>42356</v>
      </c>
      <c r="C604" s="35">
        <f t="shared" si="7"/>
        <v>42356</v>
      </c>
      <c r="D604" s="17" t="str">
        <f>IF(AND(VLOOKUP(B604,Dez!B:AZ,8,FALSE)&gt;0,VLOOKUP(B604,Dez!B:AZ,6,FALSE)=""), CONCATENATE(TEXT(VLOOKUP(B604,Dez!B:AZ,7,FALSE),"hh:mm"), "-", TEXT(VLOOKUP(B604,Dez!B:AZ,8,FALSE),"[hh]:mm")," Uhr ", IF(VLOOKUP(B604,Dez!B:AZ,12,FALSE)&gt;0, CONCATENATE("und ",TEXT(VLOOKUP(B604,Dez!B:AZ,12,FALSE),"hh:mm"), "-", TEXT(VLOOKUP(B604,Dez!B:AZ,13,FALSE),"[hh]:mm")," Uhr "),"")), IF(VLOOKUP(B604,Dez!B:AZ,6,FALSE)="","",VLOOKUP(VLOOKUP(B604,Dez!B:AZ,6,FALSE),Legende_Code,2,FALSE)))</f>
        <v/>
      </c>
      <c r="E604" s="16" t="str">
        <f>IF(AND(VLOOKUP(B604,Dez!B:AZ,6,FALSE)="", WEEKDAY(B604,2)=6,VLOOKUP(B604,Dez!B:AZ,48,FALSE)&gt;0),VLOOKUP(B604,Dez!B:AZ,48,FALSE)*24,"")</f>
        <v/>
      </c>
      <c r="F604" s="16" t="str">
        <f>IF(AND(VLOOKUP(B604,Dez!B:AZ,6,FALSE)="", WEEKDAY(B604,2)=7,VLOOKUP(B604,Dez!B:AZ,49,FALSE)&gt;0),VLOOKUP(B604,Dez!B:AZ,49,FALSE)*24,"")</f>
        <v/>
      </c>
      <c r="G604" s="16" t="str">
        <f>IF(AND(VLOOKUP(B604,Dez!B:AZ,6,FALSE)="",VLOOKUP(B604,Dez!B:AZ,46,FALSE)&gt;0),VLOOKUP(B604,Dez!B:AZ,46,FALSE)*24,"")</f>
        <v/>
      </c>
      <c r="H604" s="36" t="str">
        <f>IF(AND(VLOOKUP(B604,Dez!B:AZ,6,FALSE)="",VLOOKUP(B604,Dez!B:AZ,50,FALSE)&gt;0),VLOOKUP(B604,Dez!B:AZ,50,FALSE)*24,"")</f>
        <v/>
      </c>
      <c r="I604" s="30" t="str">
        <f>IF(AND(NETWORKDAYS(B604,B604,Feiertage)=1,VLOOKUP(B604,Dez!B:AZ,6,FALSE)="U"),"Urlaub","")</f>
        <v/>
      </c>
      <c r="J604" s="34" t="str">
        <f ca="1">IF(AND(VLOOKUP(B604,Dez!B:AZ,6,FALSE)="",VLOOKUP(B604,Dez!B:AZ,22,FALSE)&lt;0),"Absetzen von","")</f>
        <v/>
      </c>
      <c r="K604" s="263"/>
      <c r="M604" s="316" t="str">
        <f ca="1">IF(VLOOKUP(B604,Dez!B:AZ,22,FALSE)&lt;&gt;0,VLOOKUP(B604,Dez!B:AZ,22,FALSE),"")</f>
        <v/>
      </c>
      <c r="N604" s="327"/>
    </row>
    <row r="605" spans="2:14" x14ac:dyDescent="0.25">
      <c r="B605" s="245">
        <f>Dez!F27</f>
        <v>42357</v>
      </c>
      <c r="C605" s="35">
        <f t="shared" si="7"/>
        <v>42357</v>
      </c>
      <c r="D605" s="17" t="str">
        <f>IF(AND(VLOOKUP(B605,Dez!B:AZ,8,FALSE)&gt;0,VLOOKUP(B605,Dez!B:AZ,6,FALSE)=""), CONCATENATE(TEXT(VLOOKUP(B605,Dez!B:AZ,7,FALSE),"hh:mm"), "-", TEXT(VLOOKUP(B605,Dez!B:AZ,8,FALSE),"[hh]:mm")," Uhr ", IF(VLOOKUP(B605,Dez!B:AZ,12,FALSE)&gt;0, CONCATENATE("und ",TEXT(VLOOKUP(B605,Dez!B:AZ,12,FALSE),"hh:mm"), "-", TEXT(VLOOKUP(B605,Dez!B:AZ,13,FALSE),"[hh]:mm")," Uhr "),"")), IF(VLOOKUP(B605,Dez!B:AZ,6,FALSE)="","",VLOOKUP(VLOOKUP(B605,Dez!B:AZ,6,FALSE),Legende_Code,2,FALSE)))</f>
        <v/>
      </c>
      <c r="E605" s="16" t="str">
        <f>IF(AND(VLOOKUP(B605,Dez!B:AZ,6,FALSE)="", WEEKDAY(B605,2)=6,VLOOKUP(B605,Dez!B:AZ,48,FALSE)&gt;0),VLOOKUP(B605,Dez!B:AZ,48,FALSE)*24,"")</f>
        <v/>
      </c>
      <c r="F605" s="16" t="str">
        <f>IF(AND(VLOOKUP(B605,Dez!B:AZ,6,FALSE)="", WEEKDAY(B605,2)=7,VLOOKUP(B605,Dez!B:AZ,49,FALSE)&gt;0),VLOOKUP(B605,Dez!B:AZ,49,FALSE)*24,"")</f>
        <v/>
      </c>
      <c r="G605" s="16" t="str">
        <f>IF(AND(VLOOKUP(B605,Dez!B:AZ,6,FALSE)="",VLOOKUP(B605,Dez!B:AZ,46,FALSE)&gt;0),VLOOKUP(B605,Dez!B:AZ,46,FALSE)*24,"")</f>
        <v/>
      </c>
      <c r="H605" s="36" t="str">
        <f>IF(AND(VLOOKUP(B605,Dez!B:AZ,6,FALSE)="",VLOOKUP(B605,Dez!B:AZ,50,FALSE)&gt;0),VLOOKUP(B605,Dez!B:AZ,50,FALSE)*24,"")</f>
        <v/>
      </c>
      <c r="I605" s="30" t="str">
        <f>IF(AND(NETWORKDAYS(B605,B605,Feiertage)=1,VLOOKUP(B605,Dez!B:AZ,6,FALSE)="U"),"Urlaub","")</f>
        <v/>
      </c>
      <c r="J605" s="34" t="str">
        <f ca="1">IF(AND(VLOOKUP(B605,Dez!B:AZ,6,FALSE)="",VLOOKUP(B605,Dez!B:AZ,22,FALSE)&lt;0),"Absetzen von","")</f>
        <v/>
      </c>
      <c r="K605" s="263"/>
      <c r="M605" s="316" t="str">
        <f ca="1">IF(VLOOKUP(B605,Dez!B:AZ,22,FALSE)&lt;&gt;0,VLOOKUP(B605,Dez!B:AZ,22,FALSE),"")</f>
        <v/>
      </c>
      <c r="N605" s="327"/>
    </row>
    <row r="606" spans="2:14" x14ac:dyDescent="0.25">
      <c r="B606" s="245">
        <f>Dez!F28</f>
        <v>42358</v>
      </c>
      <c r="C606" s="35">
        <f t="shared" si="7"/>
        <v>42358</v>
      </c>
      <c r="D606" s="17" t="str">
        <f>IF(AND(VLOOKUP(B606,Dez!B:AZ,8,FALSE)&gt;0,VLOOKUP(B606,Dez!B:AZ,6,FALSE)=""), CONCATENATE(TEXT(VLOOKUP(B606,Dez!B:AZ,7,FALSE),"hh:mm"), "-", TEXT(VLOOKUP(B606,Dez!B:AZ,8,FALSE),"[hh]:mm")," Uhr ", IF(VLOOKUP(B606,Dez!B:AZ,12,FALSE)&gt;0, CONCATENATE("und ",TEXT(VLOOKUP(B606,Dez!B:AZ,12,FALSE),"hh:mm"), "-", TEXT(VLOOKUP(B606,Dez!B:AZ,13,FALSE),"[hh]:mm")," Uhr "),"")), IF(VLOOKUP(B606,Dez!B:AZ,6,FALSE)="","",VLOOKUP(VLOOKUP(B606,Dez!B:AZ,6,FALSE),Legende_Code,2,FALSE)))</f>
        <v/>
      </c>
      <c r="E606" s="16" t="str">
        <f>IF(AND(VLOOKUP(B606,Dez!B:AZ,6,FALSE)="", WEEKDAY(B606,2)=6,VLOOKUP(B606,Dez!B:AZ,48,FALSE)&gt;0),VLOOKUP(B606,Dez!B:AZ,48,FALSE)*24,"")</f>
        <v/>
      </c>
      <c r="F606" s="16" t="str">
        <f>IF(AND(VLOOKUP(B606,Dez!B:AZ,6,FALSE)="", WEEKDAY(B606,2)=7,VLOOKUP(B606,Dez!B:AZ,49,FALSE)&gt;0),VLOOKUP(B606,Dez!B:AZ,49,FALSE)*24,"")</f>
        <v/>
      </c>
      <c r="G606" s="16" t="str">
        <f>IF(AND(VLOOKUP(B606,Dez!B:AZ,6,FALSE)="",VLOOKUP(B606,Dez!B:AZ,46,FALSE)&gt;0),VLOOKUP(B606,Dez!B:AZ,46,FALSE)*24,"")</f>
        <v/>
      </c>
      <c r="H606" s="36" t="str">
        <f>IF(AND(VLOOKUP(B606,Dez!B:AZ,6,FALSE)="",VLOOKUP(B606,Dez!B:AZ,50,FALSE)&gt;0),VLOOKUP(B606,Dez!B:AZ,50,FALSE)*24,"")</f>
        <v/>
      </c>
      <c r="I606" s="30" t="str">
        <f>IF(AND(NETWORKDAYS(B606,B606,Feiertage)=1,VLOOKUP(B606,Dez!B:AZ,6,FALSE)="U"),"Urlaub","")</f>
        <v/>
      </c>
      <c r="J606" s="34" t="str">
        <f ca="1">IF(AND(VLOOKUP(B606,Dez!B:AZ,6,FALSE)="",VLOOKUP(B606,Dez!B:AZ,22,FALSE)&lt;0),"Absetzen von","")</f>
        <v/>
      </c>
      <c r="K606" s="263"/>
      <c r="M606" s="316" t="str">
        <f ca="1">IF(VLOOKUP(B606,Dez!B:AZ,22,FALSE)&lt;&gt;0,VLOOKUP(B606,Dez!B:AZ,22,FALSE),"")</f>
        <v/>
      </c>
      <c r="N606" s="327"/>
    </row>
    <row r="607" spans="2:14" x14ac:dyDescent="0.25">
      <c r="B607" s="245">
        <f>Dez!F29</f>
        <v>42359</v>
      </c>
      <c r="C607" s="35">
        <f t="shared" si="7"/>
        <v>42359</v>
      </c>
      <c r="D607" s="17" t="str">
        <f>IF(AND(VLOOKUP(B607,Dez!B:AZ,8,FALSE)&gt;0,VLOOKUP(B607,Dez!B:AZ,6,FALSE)=""), CONCATENATE(TEXT(VLOOKUP(B607,Dez!B:AZ,7,FALSE),"hh:mm"), "-", TEXT(VLOOKUP(B607,Dez!B:AZ,8,FALSE),"[hh]:mm")," Uhr ", IF(VLOOKUP(B607,Dez!B:AZ,12,FALSE)&gt;0, CONCATENATE("und ",TEXT(VLOOKUP(B607,Dez!B:AZ,12,FALSE),"hh:mm"), "-", TEXT(VLOOKUP(B607,Dez!B:AZ,13,FALSE),"[hh]:mm")," Uhr "),"")), IF(VLOOKUP(B607,Dez!B:AZ,6,FALSE)="","",VLOOKUP(VLOOKUP(B607,Dez!B:AZ,6,FALSE),Legende_Code,2,FALSE)))</f>
        <v/>
      </c>
      <c r="E607" s="16" t="str">
        <f>IF(AND(VLOOKUP(B607,Dez!B:AZ,6,FALSE)="", WEEKDAY(B607,2)=6,VLOOKUP(B607,Dez!B:AZ,48,FALSE)&gt;0),VLOOKUP(B607,Dez!B:AZ,48,FALSE)*24,"")</f>
        <v/>
      </c>
      <c r="F607" s="16" t="str">
        <f>IF(AND(VLOOKUP(B607,Dez!B:AZ,6,FALSE)="", WEEKDAY(B607,2)=7,VLOOKUP(B607,Dez!B:AZ,49,FALSE)&gt;0),VLOOKUP(B607,Dez!B:AZ,49,FALSE)*24,"")</f>
        <v/>
      </c>
      <c r="G607" s="16" t="str">
        <f>IF(AND(VLOOKUP(B607,Dez!B:AZ,6,FALSE)="",VLOOKUP(B607,Dez!B:AZ,46,FALSE)&gt;0),VLOOKUP(B607,Dez!B:AZ,46,FALSE)*24,"")</f>
        <v/>
      </c>
      <c r="H607" s="36" t="str">
        <f>IF(AND(VLOOKUP(B607,Dez!B:AZ,6,FALSE)="",VLOOKUP(B607,Dez!B:AZ,50,FALSE)&gt;0),VLOOKUP(B607,Dez!B:AZ,50,FALSE)*24,"")</f>
        <v/>
      </c>
      <c r="I607" s="30" t="str">
        <f>IF(AND(NETWORKDAYS(B607,B607,Feiertage)=1,VLOOKUP(B607,Dez!B:AZ,6,FALSE)="U"),"Urlaub","")</f>
        <v/>
      </c>
      <c r="J607" s="34" t="str">
        <f ca="1">IF(AND(VLOOKUP(B607,Dez!B:AZ,6,FALSE)="",VLOOKUP(B607,Dez!B:AZ,22,FALSE)&lt;0),"Absetzen von","")</f>
        <v/>
      </c>
      <c r="K607" s="263"/>
      <c r="M607" s="316" t="str">
        <f ca="1">IF(VLOOKUP(B607,Dez!B:AZ,22,FALSE)&lt;&gt;0,VLOOKUP(B607,Dez!B:AZ,22,FALSE),"")</f>
        <v/>
      </c>
      <c r="N607" s="327"/>
    </row>
    <row r="608" spans="2:14" x14ac:dyDescent="0.25">
      <c r="B608" s="245">
        <f>Dez!F30</f>
        <v>42360</v>
      </c>
      <c r="C608" s="35">
        <f t="shared" si="7"/>
        <v>42360</v>
      </c>
      <c r="D608" s="17" t="str">
        <f>IF(AND(VLOOKUP(B608,Dez!B:AZ,8,FALSE)&gt;0,VLOOKUP(B608,Dez!B:AZ,6,FALSE)=""), CONCATENATE(TEXT(VLOOKUP(B608,Dez!B:AZ,7,FALSE),"hh:mm"), "-", TEXT(VLOOKUP(B608,Dez!B:AZ,8,FALSE),"[hh]:mm")," Uhr ", IF(VLOOKUP(B608,Dez!B:AZ,12,FALSE)&gt;0, CONCATENATE("und ",TEXT(VLOOKUP(B608,Dez!B:AZ,12,FALSE),"hh:mm"), "-", TEXT(VLOOKUP(B608,Dez!B:AZ,13,FALSE),"[hh]:mm")," Uhr "),"")), IF(VLOOKUP(B608,Dez!B:AZ,6,FALSE)="","",VLOOKUP(VLOOKUP(B608,Dez!B:AZ,6,FALSE),Legende_Code,2,FALSE)))</f>
        <v/>
      </c>
      <c r="E608" s="16" t="str">
        <f>IF(AND(VLOOKUP(B608,Dez!B:AZ,6,FALSE)="", WEEKDAY(B608,2)=6,VLOOKUP(B608,Dez!B:AZ,48,FALSE)&gt;0),VLOOKUP(B608,Dez!B:AZ,48,FALSE)*24,"")</f>
        <v/>
      </c>
      <c r="F608" s="16" t="str">
        <f>IF(AND(VLOOKUP(B608,Dez!B:AZ,6,FALSE)="", WEEKDAY(B608,2)=7,VLOOKUP(B608,Dez!B:AZ,49,FALSE)&gt;0),VLOOKUP(B608,Dez!B:AZ,49,FALSE)*24,"")</f>
        <v/>
      </c>
      <c r="G608" s="16" t="str">
        <f>IF(AND(VLOOKUP(B608,Dez!B:AZ,6,FALSE)="",VLOOKUP(B608,Dez!B:AZ,46,FALSE)&gt;0),VLOOKUP(B608,Dez!B:AZ,46,FALSE)*24,"")</f>
        <v/>
      </c>
      <c r="H608" s="36" t="str">
        <f>IF(AND(VLOOKUP(B608,Dez!B:AZ,6,FALSE)="",VLOOKUP(B608,Dez!B:AZ,50,FALSE)&gt;0),VLOOKUP(B608,Dez!B:AZ,50,FALSE)*24,"")</f>
        <v/>
      </c>
      <c r="I608" s="30" t="str">
        <f>IF(AND(NETWORKDAYS(B608,B608,Feiertage)=1,VLOOKUP(B608,Dez!B:AZ,6,FALSE)="U"),"Urlaub","")</f>
        <v/>
      </c>
      <c r="J608" s="34" t="str">
        <f ca="1">IF(AND(VLOOKUP(B608,Dez!B:AZ,6,FALSE)="",VLOOKUP(B608,Dez!B:AZ,22,FALSE)&lt;0),"Absetzen von","")</f>
        <v/>
      </c>
      <c r="K608" s="263"/>
      <c r="M608" s="316" t="str">
        <f ca="1">IF(VLOOKUP(B608,Dez!B:AZ,22,FALSE)&lt;&gt;0,VLOOKUP(B608,Dez!B:AZ,22,FALSE),"")</f>
        <v/>
      </c>
      <c r="N608" s="327"/>
    </row>
    <row r="609" spans="2:14" x14ac:dyDescent="0.25">
      <c r="B609" s="245">
        <f>Dez!F31</f>
        <v>42361</v>
      </c>
      <c r="C609" s="35">
        <f t="shared" si="7"/>
        <v>42361</v>
      </c>
      <c r="D609" s="17" t="str">
        <f>IF(AND(VLOOKUP(B609,Dez!B:AZ,8,FALSE)&gt;0,VLOOKUP(B609,Dez!B:AZ,6,FALSE)=""), CONCATENATE(TEXT(VLOOKUP(B609,Dez!B:AZ,7,FALSE),"hh:mm"), "-", TEXT(VLOOKUP(B609,Dez!B:AZ,8,FALSE),"[hh]:mm")," Uhr ", IF(VLOOKUP(B609,Dez!B:AZ,12,FALSE)&gt;0, CONCATENATE("und ",TEXT(VLOOKUP(B609,Dez!B:AZ,12,FALSE),"hh:mm"), "-", TEXT(VLOOKUP(B609,Dez!B:AZ,13,FALSE),"[hh]:mm")," Uhr "),"")), IF(VLOOKUP(B609,Dez!B:AZ,6,FALSE)="","",VLOOKUP(VLOOKUP(B609,Dez!B:AZ,6,FALSE),Legende_Code,2,FALSE)))</f>
        <v/>
      </c>
      <c r="E609" s="16" t="str">
        <f>IF(AND(VLOOKUP(B609,Dez!B:AZ,6,FALSE)="", WEEKDAY(B609,2)=6,VLOOKUP(B609,Dez!B:AZ,48,FALSE)&gt;0),VLOOKUP(B609,Dez!B:AZ,48,FALSE)*24,"")</f>
        <v/>
      </c>
      <c r="F609" s="16" t="str">
        <f>IF(AND(VLOOKUP(B609,Dez!B:AZ,6,FALSE)="", WEEKDAY(B609,2)=7,VLOOKUP(B609,Dez!B:AZ,49,FALSE)&gt;0),VLOOKUP(B609,Dez!B:AZ,49,FALSE)*24,"")</f>
        <v/>
      </c>
      <c r="G609" s="16" t="str">
        <f>IF(AND(VLOOKUP(B609,Dez!B:AZ,6,FALSE)="",VLOOKUP(B609,Dez!B:AZ,46,FALSE)&gt;0),VLOOKUP(B609,Dez!B:AZ,46,FALSE)*24,"")</f>
        <v/>
      </c>
      <c r="H609" s="36" t="str">
        <f>IF(AND(VLOOKUP(B609,Dez!B:AZ,6,FALSE)="",VLOOKUP(B609,Dez!B:AZ,50,FALSE)&gt;0),VLOOKUP(B609,Dez!B:AZ,50,FALSE)*24,"")</f>
        <v/>
      </c>
      <c r="I609" s="30" t="str">
        <f>IF(AND(NETWORKDAYS(B609,B609,Feiertage)=1,VLOOKUP(B609,Dez!B:AZ,6,FALSE)="U"),"Urlaub","")</f>
        <v/>
      </c>
      <c r="J609" s="34" t="str">
        <f>IF(AND(VLOOKUP(B609,Dez!B:AZ,6,FALSE)="",VLOOKUP(B609,Dez!B:AZ,22,FALSE)&lt;0),"Absetzen von","")</f>
        <v/>
      </c>
      <c r="K609" s="263"/>
      <c r="M609" s="316" t="str">
        <f>IF(VLOOKUP(B609,Dez!B:AZ,22,FALSE)&lt;&gt;0,VLOOKUP(B609,Dez!B:AZ,22,FALSE),"")</f>
        <v/>
      </c>
      <c r="N609" s="327"/>
    </row>
    <row r="610" spans="2:14" x14ac:dyDescent="0.25">
      <c r="B610" s="245">
        <f>Dez!F32</f>
        <v>42362</v>
      </c>
      <c r="C610" s="35">
        <f t="shared" si="7"/>
        <v>42362</v>
      </c>
      <c r="D610" s="17" t="str">
        <f>IF(AND(VLOOKUP(B610,Dez!B:AZ,8,FALSE)&gt;0,VLOOKUP(B610,Dez!B:AZ,6,FALSE)=""), CONCATENATE(TEXT(VLOOKUP(B610,Dez!B:AZ,7,FALSE),"hh:mm"), "-", TEXT(VLOOKUP(B610,Dez!B:AZ,8,FALSE),"[hh]:mm")," Uhr ", IF(VLOOKUP(B610,Dez!B:AZ,12,FALSE)&gt;0, CONCATENATE("und ",TEXT(VLOOKUP(B610,Dez!B:AZ,12,FALSE),"hh:mm"), "-", TEXT(VLOOKUP(B610,Dez!B:AZ,13,FALSE),"[hh]:mm")," Uhr "),"")), IF(VLOOKUP(B610,Dez!B:AZ,6,FALSE)="","",VLOOKUP(VLOOKUP(B610,Dez!B:AZ,6,FALSE),Legende_Code,2,FALSE)))</f>
        <v/>
      </c>
      <c r="E610" s="16" t="str">
        <f>IF(AND(VLOOKUP(B610,Dez!B:AZ,6,FALSE)="", WEEKDAY(B610,2)=6,VLOOKUP(B610,Dez!B:AZ,48,FALSE)&gt;0),VLOOKUP(B610,Dez!B:AZ,48,FALSE)*24,"")</f>
        <v/>
      </c>
      <c r="F610" s="16" t="str">
        <f>IF(AND(VLOOKUP(B610,Dez!B:AZ,6,FALSE)="", WEEKDAY(B610,2)=7,VLOOKUP(B610,Dez!B:AZ,49,FALSE)&gt;0),VLOOKUP(B610,Dez!B:AZ,49,FALSE)*24,"")</f>
        <v/>
      </c>
      <c r="G610" s="16" t="str">
        <f>IF(AND(VLOOKUP(B610,Dez!B:AZ,6,FALSE)="",VLOOKUP(B610,Dez!B:AZ,46,FALSE)&gt;0),VLOOKUP(B610,Dez!B:AZ,46,FALSE)*24,"")</f>
        <v/>
      </c>
      <c r="H610" s="36" t="str">
        <f>IF(AND(VLOOKUP(B610,Dez!B:AZ,6,FALSE)="",VLOOKUP(B610,Dez!B:AZ,50,FALSE)&gt;0),VLOOKUP(B610,Dez!B:AZ,50,FALSE)*24,"")</f>
        <v/>
      </c>
      <c r="I610" s="30" t="str">
        <f>IF(AND(NETWORKDAYS(B610,B610,Feiertage)=1,VLOOKUP(B610,Dez!B:AZ,6,FALSE)="U"),"Urlaub","")</f>
        <v/>
      </c>
      <c r="J610" s="34" t="str">
        <f>IF(AND(VLOOKUP(B610,Dez!B:AZ,6,FALSE)="",VLOOKUP(B610,Dez!B:AZ,22,FALSE)&lt;0),"Absetzen von","")</f>
        <v/>
      </c>
      <c r="K610" s="263"/>
      <c r="M610" s="316" t="str">
        <f>IF(VLOOKUP(B610,Dez!B:AZ,22,FALSE)&lt;&gt;0,VLOOKUP(B610,Dez!B:AZ,22,FALSE),"")</f>
        <v/>
      </c>
      <c r="N610" s="327"/>
    </row>
    <row r="611" spans="2:14" x14ac:dyDescent="0.25">
      <c r="B611" s="245">
        <f>Dez!F33</f>
        <v>42363</v>
      </c>
      <c r="C611" s="35">
        <f t="shared" si="7"/>
        <v>42363</v>
      </c>
      <c r="D611" s="17" t="str">
        <f>IF(AND(VLOOKUP(B611,Dez!B:AZ,8,FALSE)&gt;0,VLOOKUP(B611,Dez!B:AZ,6,FALSE)=""), CONCATENATE(TEXT(VLOOKUP(B611,Dez!B:AZ,7,FALSE),"hh:mm"), "-", TEXT(VLOOKUP(B611,Dez!B:AZ,8,FALSE),"[hh]:mm")," Uhr ", IF(VLOOKUP(B611,Dez!B:AZ,12,FALSE)&gt;0, CONCATENATE("und ",TEXT(VLOOKUP(B611,Dez!B:AZ,12,FALSE),"hh:mm"), "-", TEXT(VLOOKUP(B611,Dez!B:AZ,13,FALSE),"[hh]:mm")," Uhr "),"")), IF(VLOOKUP(B611,Dez!B:AZ,6,FALSE)="","",VLOOKUP(VLOOKUP(B611,Dez!B:AZ,6,FALSE),Legende_Code,2,FALSE)))</f>
        <v/>
      </c>
      <c r="E611" s="16" t="str">
        <f>IF(AND(VLOOKUP(B611,Dez!B:AZ,6,FALSE)="", WEEKDAY(B611,2)=6,VLOOKUP(B611,Dez!B:AZ,48,FALSE)&gt;0),VLOOKUP(B611,Dez!B:AZ,48,FALSE)*24,"")</f>
        <v/>
      </c>
      <c r="F611" s="16" t="str">
        <f>IF(AND(VLOOKUP(B611,Dez!B:AZ,6,FALSE)="", WEEKDAY(B611,2)=7,VLOOKUP(B611,Dez!B:AZ,49,FALSE)&gt;0),VLOOKUP(B611,Dez!B:AZ,49,FALSE)*24,"")</f>
        <v/>
      </c>
      <c r="G611" s="16" t="str">
        <f>IF(AND(VLOOKUP(B611,Dez!B:AZ,6,FALSE)="",VLOOKUP(B611,Dez!B:AZ,46,FALSE)&gt;0),VLOOKUP(B611,Dez!B:AZ,46,FALSE)*24,"")</f>
        <v/>
      </c>
      <c r="H611" s="36" t="str">
        <f>IF(AND(VLOOKUP(B611,Dez!B:AZ,6,FALSE)="",VLOOKUP(B611,Dez!B:AZ,50,FALSE)&gt;0),VLOOKUP(B611,Dez!B:AZ,50,FALSE)*24,"")</f>
        <v/>
      </c>
      <c r="I611" s="30" t="str">
        <f>IF(AND(NETWORKDAYS(B611,B611,Feiertage)=1,VLOOKUP(B611,Dez!B:AZ,6,FALSE)="U"),"Urlaub","")</f>
        <v/>
      </c>
      <c r="J611" s="34" t="str">
        <f>IF(AND(VLOOKUP(B611,Dez!B:AZ,6,FALSE)="",VLOOKUP(B611,Dez!B:AZ,22,FALSE)&lt;0),"Absetzen von","")</f>
        <v/>
      </c>
      <c r="K611" s="263"/>
      <c r="M611" s="316" t="str">
        <f>IF(VLOOKUP(B611,Dez!B:AZ,22,FALSE)&lt;&gt;0,VLOOKUP(B611,Dez!B:AZ,22,FALSE),"")</f>
        <v/>
      </c>
      <c r="N611" s="327"/>
    </row>
    <row r="612" spans="2:14" x14ac:dyDescent="0.25">
      <c r="B612" s="245">
        <f>Dez!F34</f>
        <v>42364</v>
      </c>
      <c r="C612" s="35">
        <f t="shared" si="7"/>
        <v>42364</v>
      </c>
      <c r="D612" s="17" t="str">
        <f>IF(AND(VLOOKUP(B612,Dez!B:AZ,8,FALSE)&gt;0,VLOOKUP(B612,Dez!B:AZ,6,FALSE)=""), CONCATENATE(TEXT(VLOOKUP(B612,Dez!B:AZ,7,FALSE),"hh:mm"), "-", TEXT(VLOOKUP(B612,Dez!B:AZ,8,FALSE),"[hh]:mm")," Uhr ", IF(VLOOKUP(B612,Dez!B:AZ,12,FALSE)&gt;0, CONCATENATE("und ",TEXT(VLOOKUP(B612,Dez!B:AZ,12,FALSE),"hh:mm"), "-", TEXT(VLOOKUP(B612,Dez!B:AZ,13,FALSE),"[hh]:mm")," Uhr "),"")), IF(VLOOKUP(B612,Dez!B:AZ,6,FALSE)="","",VLOOKUP(VLOOKUP(B612,Dez!B:AZ,6,FALSE),Legende_Code,2,FALSE)))</f>
        <v/>
      </c>
      <c r="E612" s="16" t="str">
        <f>IF(AND(VLOOKUP(B612,Dez!B:AZ,6,FALSE)="", WEEKDAY(B612,2)=6,VLOOKUP(B612,Dez!B:AZ,48,FALSE)&gt;0),VLOOKUP(B612,Dez!B:AZ,48,FALSE)*24,"")</f>
        <v/>
      </c>
      <c r="F612" s="16" t="str">
        <f>IF(AND(VLOOKUP(B612,Dez!B:AZ,6,FALSE)="", WEEKDAY(B612,2)=7,VLOOKUP(B612,Dez!B:AZ,49,FALSE)&gt;0),VLOOKUP(B612,Dez!B:AZ,49,FALSE)*24,"")</f>
        <v/>
      </c>
      <c r="G612" s="16" t="str">
        <f>IF(AND(VLOOKUP(B612,Dez!B:AZ,6,FALSE)="",VLOOKUP(B612,Dez!B:AZ,46,FALSE)&gt;0),VLOOKUP(B612,Dez!B:AZ,46,FALSE)*24,"")</f>
        <v/>
      </c>
      <c r="H612" s="36" t="str">
        <f>IF(AND(VLOOKUP(B612,Dez!B:AZ,6,FALSE)="",VLOOKUP(B612,Dez!B:AZ,50,FALSE)&gt;0),VLOOKUP(B612,Dez!B:AZ,50,FALSE)*24,"")</f>
        <v/>
      </c>
      <c r="I612" s="30" t="str">
        <f>IF(AND(NETWORKDAYS(B612,B612,Feiertage)=1,VLOOKUP(B612,Dez!B:AZ,6,FALSE)="U"),"Urlaub","")</f>
        <v/>
      </c>
      <c r="J612" s="34" t="str">
        <f ca="1">IF(AND(VLOOKUP(B612,Dez!B:AZ,6,FALSE)="",VLOOKUP(B612,Dez!B:AZ,22,FALSE)&lt;0),"Absetzen von","")</f>
        <v/>
      </c>
      <c r="K612" s="263"/>
      <c r="M612" s="316" t="str">
        <f ca="1">IF(VLOOKUP(B612,Dez!B:AZ,22,FALSE)&lt;&gt;0,VLOOKUP(B612,Dez!B:AZ,22,FALSE),"")</f>
        <v/>
      </c>
      <c r="N612" s="327"/>
    </row>
    <row r="613" spans="2:14" x14ac:dyDescent="0.25">
      <c r="B613" s="245">
        <f>Dez!F35</f>
        <v>42365</v>
      </c>
      <c r="C613" s="35">
        <f t="shared" si="7"/>
        <v>42365</v>
      </c>
      <c r="D613" s="17" t="str">
        <f>IF(AND(VLOOKUP(B613,Dez!B:AZ,8,FALSE)&gt;0,VLOOKUP(B613,Dez!B:AZ,6,FALSE)=""), CONCATENATE(TEXT(VLOOKUP(B613,Dez!B:AZ,7,FALSE),"hh:mm"), "-", TEXT(VLOOKUP(B613,Dez!B:AZ,8,FALSE),"[hh]:mm")," Uhr ", IF(VLOOKUP(B613,Dez!B:AZ,12,FALSE)&gt;0, CONCATENATE("und ",TEXT(VLOOKUP(B613,Dez!B:AZ,12,FALSE),"hh:mm"), "-", TEXT(VLOOKUP(B613,Dez!B:AZ,13,FALSE),"[hh]:mm")," Uhr "),"")), IF(VLOOKUP(B613,Dez!B:AZ,6,FALSE)="","",VLOOKUP(VLOOKUP(B613,Dez!B:AZ,6,FALSE),Legende_Code,2,FALSE)))</f>
        <v/>
      </c>
      <c r="E613" s="16" t="str">
        <f>IF(AND(VLOOKUP(B613,Dez!B:AZ,6,FALSE)="", WEEKDAY(B613,2)=6,VLOOKUP(B613,Dez!B:AZ,48,FALSE)&gt;0),VLOOKUP(B613,Dez!B:AZ,48,FALSE)*24,"")</f>
        <v/>
      </c>
      <c r="F613" s="16" t="str">
        <f>IF(AND(VLOOKUP(B613,Dez!B:AZ,6,FALSE)="", WEEKDAY(B613,2)=7,VLOOKUP(B613,Dez!B:AZ,49,FALSE)&gt;0),VLOOKUP(B613,Dez!B:AZ,49,FALSE)*24,"")</f>
        <v/>
      </c>
      <c r="G613" s="16" t="str">
        <f>IF(AND(VLOOKUP(B613,Dez!B:AZ,6,FALSE)="",VLOOKUP(B613,Dez!B:AZ,46,FALSE)&gt;0),VLOOKUP(B613,Dez!B:AZ,46,FALSE)*24,"")</f>
        <v/>
      </c>
      <c r="H613" s="36" t="str">
        <f>IF(AND(VLOOKUP(B613,Dez!B:AZ,6,FALSE)="",VLOOKUP(B613,Dez!B:AZ,50,FALSE)&gt;0),VLOOKUP(B613,Dez!B:AZ,50,FALSE)*24,"")</f>
        <v/>
      </c>
      <c r="I613" s="30" t="str">
        <f>IF(AND(NETWORKDAYS(B613,B613,Feiertage)=1,VLOOKUP(B613,Dez!B:AZ,6,FALSE)="U"),"Urlaub","")</f>
        <v/>
      </c>
      <c r="J613" s="34" t="str">
        <f ca="1">IF(AND(VLOOKUP(B613,Dez!B:AZ,6,FALSE)="",VLOOKUP(B613,Dez!B:AZ,22,FALSE)&lt;0),"Absetzen von","")</f>
        <v/>
      </c>
      <c r="K613" s="263"/>
      <c r="M613" s="316" t="str">
        <f ca="1">IF(VLOOKUP(B613,Dez!B:AZ,22,FALSE)&lt;&gt;0,VLOOKUP(B613,Dez!B:AZ,22,FALSE),"")</f>
        <v/>
      </c>
      <c r="N613" s="327"/>
    </row>
    <row r="614" spans="2:14" x14ac:dyDescent="0.25">
      <c r="B614" s="245">
        <f>Dez!F36</f>
        <v>42366</v>
      </c>
      <c r="C614" s="35">
        <f t="shared" si="7"/>
        <v>42366</v>
      </c>
      <c r="D614" s="17" t="str">
        <f>IF(AND(VLOOKUP(B614,Dez!B:AZ,8,FALSE)&gt;0,VLOOKUP(B614,Dez!B:AZ,6,FALSE)=""), CONCATENATE(TEXT(VLOOKUP(B614,Dez!B:AZ,7,FALSE),"hh:mm"), "-", TEXT(VLOOKUP(B614,Dez!B:AZ,8,FALSE),"[hh]:mm")," Uhr ", IF(VLOOKUP(B614,Dez!B:AZ,12,FALSE)&gt;0, CONCATENATE("und ",TEXT(VLOOKUP(B614,Dez!B:AZ,12,FALSE),"hh:mm"), "-", TEXT(VLOOKUP(B614,Dez!B:AZ,13,FALSE),"[hh]:mm")," Uhr "),"")), IF(VLOOKUP(B614,Dez!B:AZ,6,FALSE)="","",VLOOKUP(VLOOKUP(B614,Dez!B:AZ,6,FALSE),Legende_Code,2,FALSE)))</f>
        <v/>
      </c>
      <c r="E614" s="16" t="str">
        <f>IF(AND(VLOOKUP(B614,Dez!B:AZ,6,FALSE)="", WEEKDAY(B614,2)=6,VLOOKUP(B614,Dez!B:AZ,48,FALSE)&gt;0),VLOOKUP(B614,Dez!B:AZ,48,FALSE)*24,"")</f>
        <v/>
      </c>
      <c r="F614" s="16" t="str">
        <f>IF(AND(VLOOKUP(B614,Dez!B:AZ,6,FALSE)="", WEEKDAY(B614,2)=7,VLOOKUP(B614,Dez!B:AZ,49,FALSE)&gt;0),VLOOKUP(B614,Dez!B:AZ,49,FALSE)*24,"")</f>
        <v/>
      </c>
      <c r="G614" s="16" t="str">
        <f>IF(AND(VLOOKUP(B614,Dez!B:AZ,6,FALSE)="",VLOOKUP(B614,Dez!B:AZ,46,FALSE)&gt;0),VLOOKUP(B614,Dez!B:AZ,46,FALSE)*24,"")</f>
        <v/>
      </c>
      <c r="H614" s="36" t="str">
        <f>IF(AND(VLOOKUP(B614,Dez!B:AZ,6,FALSE)="",VLOOKUP(B614,Dez!B:AZ,50,FALSE)&gt;0),VLOOKUP(B614,Dez!B:AZ,50,FALSE)*24,"")</f>
        <v/>
      </c>
      <c r="I614" s="30" t="str">
        <f>IF(AND(NETWORKDAYS(B614,B614,Feiertage)=1,VLOOKUP(B614,Dez!B:AZ,6,FALSE)="U"),"Urlaub","")</f>
        <v/>
      </c>
      <c r="J614" s="34" t="str">
        <f ca="1">IF(AND(VLOOKUP(B614,Dez!B:AZ,6,FALSE)="",VLOOKUP(B614,Dez!B:AZ,22,FALSE)&lt;0),"Absetzen von","")</f>
        <v/>
      </c>
      <c r="K614" s="263"/>
      <c r="M614" s="316" t="str">
        <f ca="1">IF(VLOOKUP(B614,Dez!B:AZ,22,FALSE)&lt;&gt;0,VLOOKUP(B614,Dez!B:AZ,22,FALSE),"")</f>
        <v/>
      </c>
      <c r="N614" s="327"/>
    </row>
    <row r="615" spans="2:14" x14ac:dyDescent="0.25">
      <c r="B615" s="245">
        <f>Dez!F37</f>
        <v>42367</v>
      </c>
      <c r="C615" s="35">
        <f t="shared" si="7"/>
        <v>42367</v>
      </c>
      <c r="D615" s="17" t="str">
        <f>IF(AND(VLOOKUP(B615,Dez!B:AZ,8,FALSE)&gt;0,VLOOKUP(B615,Dez!B:AZ,6,FALSE)=""), CONCATENATE(TEXT(VLOOKUP(B615,Dez!B:AZ,7,FALSE),"hh:mm"), "-", TEXT(VLOOKUP(B615,Dez!B:AZ,8,FALSE),"[hh]:mm")," Uhr ", IF(VLOOKUP(B615,Dez!B:AZ,12,FALSE)&gt;0, CONCATENATE("und ",TEXT(VLOOKUP(B615,Dez!B:AZ,12,FALSE),"hh:mm"), "-", TEXT(VLOOKUP(B615,Dez!B:AZ,13,FALSE),"[hh]:mm")," Uhr "),"")), IF(VLOOKUP(B615,Dez!B:AZ,6,FALSE)="","",VLOOKUP(VLOOKUP(B615,Dez!B:AZ,6,FALSE),Legende_Code,2,FALSE)))</f>
        <v/>
      </c>
      <c r="E615" s="16" t="str">
        <f>IF(AND(VLOOKUP(B615,Dez!B:AZ,6,FALSE)="", WEEKDAY(B615,2)=6,VLOOKUP(B615,Dez!B:AZ,48,FALSE)&gt;0),VLOOKUP(B615,Dez!B:AZ,48,FALSE)*24,"")</f>
        <v/>
      </c>
      <c r="F615" s="16" t="str">
        <f>IF(AND(VLOOKUP(B615,Dez!B:AZ,6,FALSE)="", WEEKDAY(B615,2)=7,VLOOKUP(B615,Dez!B:AZ,49,FALSE)&gt;0),VLOOKUP(B615,Dez!B:AZ,49,FALSE)*24,"")</f>
        <v/>
      </c>
      <c r="G615" s="16" t="str">
        <f>IF(AND(VLOOKUP(B615,Dez!B:AZ,6,FALSE)="",VLOOKUP(B615,Dez!B:AZ,46,FALSE)&gt;0),VLOOKUP(B615,Dez!B:AZ,46,FALSE)*24,"")</f>
        <v/>
      </c>
      <c r="H615" s="36" t="str">
        <f>IF(AND(VLOOKUP(B615,Dez!B:AZ,6,FALSE)="",VLOOKUP(B615,Dez!B:AZ,50,FALSE)&gt;0),VLOOKUP(B615,Dez!B:AZ,50,FALSE)*24,"")</f>
        <v/>
      </c>
      <c r="I615" s="30" t="str">
        <f>IF(AND(NETWORKDAYS(B615,B615,Feiertage)=1,VLOOKUP(B615,Dez!B:AZ,6,FALSE)="U"),"Urlaub","")</f>
        <v/>
      </c>
      <c r="J615" s="34" t="str">
        <f ca="1">IF(AND(VLOOKUP(B615,Dez!B:AZ,6,FALSE)="",VLOOKUP(B615,Dez!B:AZ,22,FALSE)&lt;0),"Absetzen von","")</f>
        <v/>
      </c>
      <c r="K615" s="263"/>
      <c r="M615" s="316" t="str">
        <f ca="1">IF(VLOOKUP(B615,Dez!B:AZ,22,FALSE)&lt;&gt;0,VLOOKUP(B615,Dez!B:AZ,22,FALSE),"")</f>
        <v/>
      </c>
      <c r="N615" s="327"/>
    </row>
    <row r="616" spans="2:14" ht="15.75" thickBot="1" x14ac:dyDescent="0.3">
      <c r="B616" s="245">
        <f>Dez!F38</f>
        <v>42368</v>
      </c>
      <c r="C616" s="35">
        <f t="shared" si="7"/>
        <v>42368</v>
      </c>
      <c r="D616" s="17" t="str">
        <f>IF(AND(VLOOKUP(B616,Dez!B:AZ,8,FALSE)&gt;0,VLOOKUP(B616,Dez!B:AZ,6,FALSE)=""), CONCATENATE(TEXT(VLOOKUP(B616,Dez!B:AZ,7,FALSE),"hh:mm"), "-", TEXT(VLOOKUP(B616,Dez!B:AZ,8,FALSE),"[hh]:mm")," Uhr ", IF(VLOOKUP(B616,Dez!B:AZ,12,FALSE)&gt;0, CONCATENATE("und ",TEXT(VLOOKUP(B616,Dez!B:AZ,12,FALSE),"hh:mm"), "-", TEXT(VLOOKUP(B616,Dez!B:AZ,13,FALSE),"[hh]:mm")," Uhr "),"")), IF(VLOOKUP(B616,Dez!B:AZ,6,FALSE)="","",VLOOKUP(VLOOKUP(B616,Dez!B:AZ,6,FALSE),Legende_Code,2,FALSE)))</f>
        <v/>
      </c>
      <c r="E616" s="16" t="str">
        <f>IF(AND(VLOOKUP(B616,Dez!B:AZ,6,FALSE)="", WEEKDAY(B616,2)=6,VLOOKUP(B616,Dez!B:AZ,48,FALSE)&gt;0),VLOOKUP(B616,Dez!B:AZ,48,FALSE)*24,"")</f>
        <v/>
      </c>
      <c r="F616" s="16" t="str">
        <f>IF(AND(VLOOKUP(B616,Dez!B:AZ,6,FALSE)="", WEEKDAY(B616,2)=7,VLOOKUP(B616,Dez!B:AZ,49,FALSE)&gt;0),VLOOKUP(B616,Dez!B:AZ,49,FALSE)*24,"")</f>
        <v/>
      </c>
      <c r="G616" s="16" t="str">
        <f>IF(AND(VLOOKUP(B616,Dez!B:AZ,6,FALSE)="",VLOOKUP(B616,Dez!B:AZ,46,FALSE)&gt;0),VLOOKUP(B616,Dez!B:AZ,46,FALSE)*24,"")</f>
        <v/>
      </c>
      <c r="H616" s="36" t="str">
        <f>IF(AND(VLOOKUP(B616,Dez!B:AZ,6,FALSE)="",VLOOKUP(B616,Dez!B:AZ,50,FALSE)&gt;0),VLOOKUP(B616,Dez!B:AZ,50,FALSE)*24,"")</f>
        <v/>
      </c>
      <c r="I616" s="30" t="str">
        <f>IF(AND(NETWORKDAYS(B616,B616,Feiertage)=1,VLOOKUP(B616,Dez!B:AZ,6,FALSE)="U"),"Urlaub","")</f>
        <v/>
      </c>
      <c r="J616" s="34" t="str">
        <f>IF(AND(VLOOKUP(B616,Dez!B:AZ,6,FALSE)="",VLOOKUP(B616,Dez!B:AZ,22,FALSE)&lt;0),"Absetzen von","")</f>
        <v/>
      </c>
      <c r="K616" s="263"/>
      <c r="M616" s="316" t="str">
        <f>IF(VLOOKUP(B616,Dez!B:AZ,22,FALSE)&lt;&gt;0,VLOOKUP(B616,Dez!B:AZ,22,FALSE),"")</f>
        <v/>
      </c>
      <c r="N616" s="327"/>
    </row>
    <row r="617" spans="2:14" ht="15.75" thickBot="1" x14ac:dyDescent="0.3">
      <c r="B617" s="186"/>
      <c r="C617" s="37"/>
      <c r="D617" s="38" t="s">
        <v>198</v>
      </c>
      <c r="E617" s="39" t="str">
        <f>IF(SUM(E586:E616)=0," ",SUM(E586:E616))</f>
        <v xml:space="preserve"> </v>
      </c>
      <c r="F617" s="39" t="str">
        <f>IF(SUM(F586:F616)=0," ",SUM(F586:F616))</f>
        <v xml:space="preserve"> </v>
      </c>
      <c r="G617" s="39" t="str">
        <f>IF(SUM(G586:G616)=0," ",SUM(G586:G616))</f>
        <v xml:space="preserve"> </v>
      </c>
      <c r="H617" s="40" t="str">
        <f>IF(SUM(H586:H616)=0," ",SUM(H586:H616))</f>
        <v xml:space="preserve"> </v>
      </c>
      <c r="I617" s="30"/>
      <c r="J617" s="185"/>
      <c r="K617" s="266"/>
      <c r="N617" s="327"/>
    </row>
    <row r="618" spans="2:14" x14ac:dyDescent="0.25">
      <c r="B618" s="44" t="s">
        <v>199</v>
      </c>
      <c r="C618" s="20"/>
      <c r="D618" s="41"/>
      <c r="E618" s="20"/>
      <c r="F618" s="20"/>
      <c r="G618" s="20" t="s">
        <v>200</v>
      </c>
      <c r="H618" s="20"/>
      <c r="I618" s="20"/>
      <c r="J618" s="20"/>
      <c r="K618" s="267"/>
    </row>
    <row r="619" spans="2:14" x14ac:dyDescent="0.25">
      <c r="B619" s="44"/>
      <c r="C619" s="20"/>
      <c r="D619" s="41"/>
      <c r="E619" s="20"/>
      <c r="F619" s="20"/>
      <c r="G619" s="20"/>
      <c r="H619" s="20"/>
      <c r="I619" s="20"/>
      <c r="J619" s="20"/>
      <c r="K619" s="267"/>
    </row>
    <row r="620" spans="2:14" x14ac:dyDescent="0.25">
      <c r="B620" s="44"/>
      <c r="C620" s="20"/>
      <c r="D620" s="41"/>
      <c r="E620" s="20"/>
      <c r="F620" s="20"/>
      <c r="G620" s="20"/>
      <c r="H620" s="20"/>
      <c r="I620" s="20"/>
      <c r="J620" s="20"/>
      <c r="K620" s="267"/>
    </row>
    <row r="621" spans="2:14" x14ac:dyDescent="0.25">
      <c r="B621" s="44" t="s">
        <v>201</v>
      </c>
      <c r="C621" s="20"/>
      <c r="D621" s="41"/>
      <c r="E621" s="20"/>
      <c r="F621" s="20"/>
      <c r="G621" s="20" t="s">
        <v>202</v>
      </c>
      <c r="H621" s="20"/>
      <c r="I621" s="20"/>
      <c r="J621" s="20"/>
      <c r="K621" s="267"/>
    </row>
    <row r="622" spans="2:14" x14ac:dyDescent="0.25">
      <c r="B622" s="246"/>
      <c r="C622" s="42"/>
      <c r="D622" s="18"/>
      <c r="E622" s="19"/>
      <c r="F622" s="19"/>
      <c r="G622" s="19"/>
      <c r="H622" s="43"/>
      <c r="I622" s="20"/>
      <c r="J622" s="44"/>
      <c r="K622" s="268"/>
    </row>
    <row r="623" spans="2:14" x14ac:dyDescent="0.25">
      <c r="B623" s="246"/>
      <c r="C623" s="42"/>
      <c r="D623" s="18"/>
      <c r="E623" s="19"/>
      <c r="F623" s="19"/>
      <c r="G623" s="19"/>
      <c r="H623" s="43"/>
      <c r="I623" s="20"/>
      <c r="J623" s="44"/>
      <c r="K623" s="268"/>
    </row>
    <row r="624" spans="2:14" x14ac:dyDescent="0.25">
      <c r="B624" s="246"/>
      <c r="C624" s="42"/>
      <c r="D624" s="18"/>
      <c r="E624" s="19"/>
      <c r="F624" s="19"/>
      <c r="G624" s="19"/>
      <c r="H624" s="43"/>
      <c r="I624" s="20"/>
      <c r="J624" s="44"/>
      <c r="K624" s="268"/>
    </row>
    <row r="625" spans="2:11" x14ac:dyDescent="0.25">
      <c r="B625" s="246"/>
      <c r="C625" s="42"/>
      <c r="D625" s="18"/>
      <c r="E625" s="19"/>
      <c r="F625" s="19"/>
      <c r="G625" s="19"/>
      <c r="H625" s="43"/>
      <c r="I625" s="20"/>
      <c r="J625" s="44"/>
      <c r="K625" s="268"/>
    </row>
    <row r="626" spans="2:11" x14ac:dyDescent="0.25">
      <c r="B626" s="246"/>
      <c r="C626" s="42"/>
      <c r="D626" s="18"/>
      <c r="E626" s="19"/>
      <c r="F626" s="19"/>
      <c r="G626" s="19"/>
      <c r="H626" s="43"/>
      <c r="I626" s="20"/>
      <c r="J626" s="44"/>
      <c r="K626" s="268"/>
    </row>
    <row r="627" spans="2:11" x14ac:dyDescent="0.25">
      <c r="B627" s="246"/>
      <c r="C627" s="42"/>
      <c r="D627" s="18"/>
      <c r="E627" s="19"/>
      <c r="F627" s="19"/>
      <c r="G627" s="19"/>
      <c r="H627" s="43"/>
      <c r="I627" s="20"/>
      <c r="J627" s="44"/>
      <c r="K627" s="268"/>
    </row>
    <row r="628" spans="2:11" x14ac:dyDescent="0.25">
      <c r="B628" s="246"/>
      <c r="C628" s="42"/>
      <c r="D628" s="18"/>
      <c r="E628" s="19"/>
      <c r="F628" s="19"/>
      <c r="G628" s="19"/>
      <c r="H628" s="43"/>
      <c r="I628" s="20"/>
      <c r="J628" s="44"/>
      <c r="K628" s="268"/>
    </row>
    <row r="629" spans="2:11" x14ac:dyDescent="0.25">
      <c r="B629" s="246"/>
      <c r="C629" s="42"/>
      <c r="D629" s="18"/>
      <c r="E629" s="19"/>
      <c r="F629" s="19"/>
      <c r="G629" s="19"/>
      <c r="H629" s="43"/>
      <c r="I629" s="20"/>
      <c r="J629" s="44"/>
      <c r="K629" s="268"/>
    </row>
    <row r="630" spans="2:11" x14ac:dyDescent="0.25">
      <c r="B630" s="246"/>
      <c r="C630" s="42"/>
      <c r="D630" s="18"/>
      <c r="E630" s="19"/>
      <c r="F630" s="19"/>
      <c r="G630" s="19"/>
      <c r="H630" s="43"/>
      <c r="I630" s="20"/>
      <c r="J630" s="44"/>
      <c r="K630" s="268"/>
    </row>
    <row r="631" spans="2:11" x14ac:dyDescent="0.25">
      <c r="B631" s="246"/>
      <c r="C631" s="42"/>
      <c r="D631" s="18"/>
      <c r="E631" s="19"/>
      <c r="F631" s="19"/>
      <c r="G631" s="19"/>
      <c r="H631" s="43"/>
      <c r="I631" s="20"/>
      <c r="J631" s="44"/>
      <c r="K631" s="268"/>
    </row>
    <row r="632" spans="2:11" x14ac:dyDescent="0.25">
      <c r="B632" s="246"/>
      <c r="C632" s="42"/>
      <c r="D632" s="18"/>
      <c r="E632" s="19"/>
      <c r="F632" s="19"/>
      <c r="G632" s="19"/>
      <c r="H632" s="43"/>
      <c r="I632" s="20"/>
      <c r="J632" s="44"/>
      <c r="K632" s="268"/>
    </row>
    <row r="633" spans="2:11" x14ac:dyDescent="0.25">
      <c r="B633" s="246"/>
      <c r="C633" s="42"/>
      <c r="D633" s="18"/>
      <c r="E633" s="19"/>
      <c r="F633" s="19"/>
      <c r="G633" s="19"/>
      <c r="H633" s="43"/>
      <c r="I633" s="20"/>
      <c r="J633" s="44"/>
      <c r="K633" s="268"/>
    </row>
    <row r="634" spans="2:11" x14ac:dyDescent="0.25">
      <c r="B634" s="246"/>
      <c r="C634" s="42"/>
      <c r="D634" s="18"/>
      <c r="E634" s="19"/>
      <c r="F634" s="19"/>
      <c r="G634" s="19"/>
      <c r="H634" s="43"/>
      <c r="I634" s="20"/>
      <c r="J634" s="44"/>
      <c r="K634" s="268"/>
    </row>
    <row r="635" spans="2:11" x14ac:dyDescent="0.25">
      <c r="B635" s="246"/>
      <c r="C635" s="42"/>
      <c r="D635" s="18"/>
      <c r="E635" s="19"/>
      <c r="F635" s="19"/>
      <c r="G635" s="19"/>
      <c r="H635" s="43"/>
      <c r="I635" s="20"/>
      <c r="J635" s="44"/>
      <c r="K635" s="268"/>
    </row>
    <row r="636" spans="2:11" x14ac:dyDescent="0.25">
      <c r="B636" s="246"/>
      <c r="C636" s="42"/>
      <c r="D636" s="18"/>
      <c r="E636" s="19"/>
      <c r="F636" s="19"/>
      <c r="G636" s="19"/>
      <c r="H636" s="43"/>
      <c r="I636" s="20"/>
      <c r="J636" s="44"/>
      <c r="K636" s="268"/>
    </row>
    <row r="637" spans="2:11" x14ac:dyDescent="0.25">
      <c r="B637" s="246"/>
      <c r="C637" s="42"/>
      <c r="D637" s="18"/>
      <c r="E637" s="19"/>
      <c r="F637" s="19"/>
      <c r="G637" s="19"/>
      <c r="H637" s="43"/>
      <c r="I637" s="20"/>
      <c r="J637" s="44"/>
      <c r="K637" s="268"/>
    </row>
    <row r="638" spans="2:11" x14ac:dyDescent="0.25">
      <c r="B638" s="246"/>
      <c r="C638" s="42"/>
      <c r="D638" s="18"/>
      <c r="E638" s="19"/>
      <c r="F638" s="19"/>
      <c r="G638" s="19"/>
      <c r="H638" s="43"/>
      <c r="I638" s="20"/>
      <c r="J638" s="44"/>
      <c r="K638" s="268"/>
    </row>
    <row r="639" spans="2:11" x14ac:dyDescent="0.25">
      <c r="B639" s="246"/>
      <c r="C639" s="42"/>
      <c r="D639" s="18"/>
      <c r="E639" s="19"/>
      <c r="F639" s="19"/>
      <c r="G639" s="19"/>
      <c r="H639" s="43"/>
      <c r="I639" s="20"/>
      <c r="J639" s="44"/>
      <c r="K639" s="268"/>
    </row>
    <row r="640" spans="2:11" x14ac:dyDescent="0.25">
      <c r="B640" s="246"/>
      <c r="C640" s="42"/>
      <c r="D640" s="18"/>
      <c r="E640" s="19"/>
      <c r="F640" s="19"/>
      <c r="G640" s="19"/>
      <c r="H640" s="43"/>
      <c r="I640" s="20"/>
      <c r="J640" s="44"/>
      <c r="K640" s="268"/>
    </row>
    <row r="641" spans="2:11" x14ac:dyDescent="0.25">
      <c r="B641" s="246"/>
      <c r="C641" s="42"/>
      <c r="D641" s="18"/>
      <c r="E641" s="19"/>
      <c r="F641" s="19"/>
      <c r="G641" s="19"/>
      <c r="H641" s="43"/>
      <c r="I641" s="20"/>
      <c r="J641" s="44"/>
      <c r="K641" s="268"/>
    </row>
    <row r="642" spans="2:11" x14ac:dyDescent="0.25">
      <c r="B642" s="246"/>
      <c r="C642" s="42"/>
      <c r="D642" s="18"/>
      <c r="E642" s="19"/>
      <c r="F642" s="19"/>
      <c r="G642" s="19"/>
      <c r="H642" s="43"/>
      <c r="I642" s="20"/>
      <c r="J642" s="44"/>
      <c r="K642" s="268"/>
    </row>
    <row r="643" spans="2:11" x14ac:dyDescent="0.25">
      <c r="B643" s="246"/>
      <c r="C643" s="42"/>
      <c r="D643" s="18"/>
      <c r="E643" s="19"/>
      <c r="F643" s="19"/>
      <c r="G643" s="19"/>
      <c r="H643" s="43"/>
      <c r="I643" s="20"/>
      <c r="J643" s="44"/>
      <c r="K643" s="268"/>
    </row>
    <row r="644" spans="2:11" x14ac:dyDescent="0.25">
      <c r="B644" s="246"/>
      <c r="C644" s="42"/>
      <c r="D644" s="18"/>
      <c r="E644" s="19"/>
      <c r="F644" s="19"/>
      <c r="G644" s="19"/>
      <c r="H644" s="43"/>
      <c r="I644" s="20"/>
      <c r="J644" s="44"/>
      <c r="K644" s="268"/>
    </row>
    <row r="645" spans="2:11" x14ac:dyDescent="0.25">
      <c r="B645" s="246"/>
      <c r="C645" s="42"/>
      <c r="D645" s="18"/>
      <c r="E645" s="19"/>
      <c r="F645" s="19"/>
      <c r="G645" s="19"/>
      <c r="H645" s="43"/>
      <c r="I645" s="20"/>
      <c r="J645" s="44"/>
      <c r="K645" s="268"/>
    </row>
    <row r="646" spans="2:11" x14ac:dyDescent="0.25">
      <c r="B646" s="246"/>
      <c r="C646" s="42"/>
      <c r="D646" s="18"/>
      <c r="E646" s="19"/>
      <c r="F646" s="19"/>
      <c r="G646" s="19"/>
      <c r="H646" s="43"/>
      <c r="I646" s="20"/>
      <c r="J646" s="44"/>
      <c r="K646" s="268"/>
    </row>
    <row r="647" spans="2:11" x14ac:dyDescent="0.25">
      <c r="B647" s="246"/>
      <c r="C647" s="42"/>
      <c r="D647" s="18"/>
      <c r="E647" s="19"/>
      <c r="F647" s="19"/>
      <c r="G647" s="19"/>
      <c r="H647" s="43"/>
      <c r="I647" s="20"/>
      <c r="J647" s="44"/>
      <c r="K647" s="268"/>
    </row>
    <row r="648" spans="2:11" x14ac:dyDescent="0.25">
      <c r="B648" s="246"/>
      <c r="C648" s="42"/>
      <c r="D648" s="18"/>
      <c r="E648" s="19"/>
      <c r="F648" s="19"/>
      <c r="G648" s="19"/>
      <c r="H648" s="43"/>
      <c r="I648" s="20"/>
      <c r="J648" s="44"/>
      <c r="K648" s="268"/>
    </row>
    <row r="649" spans="2:11" x14ac:dyDescent="0.25">
      <c r="B649" s="246"/>
      <c r="C649" s="42"/>
      <c r="D649" s="18"/>
      <c r="E649" s="19"/>
      <c r="F649" s="19"/>
      <c r="G649" s="19"/>
      <c r="H649" s="43"/>
      <c r="I649" s="20"/>
      <c r="J649" s="44"/>
      <c r="K649" s="268"/>
    </row>
    <row r="650" spans="2:11" x14ac:dyDescent="0.25">
      <c r="B650" s="246"/>
      <c r="C650" s="42"/>
      <c r="D650" s="18"/>
      <c r="E650" s="19"/>
      <c r="F650" s="19"/>
      <c r="G650" s="19"/>
      <c r="H650" s="43"/>
      <c r="I650" s="20"/>
      <c r="J650" s="44"/>
      <c r="K650" s="268"/>
    </row>
    <row r="651" spans="2:11" x14ac:dyDescent="0.25">
      <c r="B651" s="246"/>
      <c r="C651" s="42"/>
      <c r="D651" s="18"/>
      <c r="E651" s="19"/>
      <c r="F651" s="19"/>
      <c r="G651" s="19"/>
      <c r="H651" s="43"/>
      <c r="I651" s="20"/>
      <c r="J651" s="44"/>
      <c r="K651" s="268"/>
    </row>
    <row r="652" spans="2:11" x14ac:dyDescent="0.25">
      <c r="B652" s="246"/>
      <c r="C652" s="42"/>
      <c r="D652" s="18"/>
      <c r="E652" s="19"/>
      <c r="F652" s="19"/>
      <c r="G652" s="19"/>
      <c r="H652" s="43"/>
      <c r="I652" s="20"/>
      <c r="J652" s="44"/>
      <c r="K652" s="268"/>
    </row>
    <row r="653" spans="2:11" x14ac:dyDescent="0.25">
      <c r="B653" s="246"/>
      <c r="C653" s="42"/>
      <c r="D653" s="18"/>
      <c r="E653" s="19"/>
      <c r="F653" s="19"/>
      <c r="G653" s="19"/>
      <c r="H653" s="43"/>
      <c r="I653" s="20"/>
      <c r="J653" s="44"/>
      <c r="K653" s="268"/>
    </row>
  </sheetData>
  <sheetProtection password="D3C6" sheet="1" formatCells="0" selectLockedCells="1"/>
  <mergeCells count="204">
    <mergeCell ref="C2:F2"/>
    <mergeCell ref="I6:J6"/>
    <mergeCell ref="B8:C8"/>
    <mergeCell ref="D8:H8"/>
    <mergeCell ref="J8:K8"/>
    <mergeCell ref="B9:B11"/>
    <mergeCell ref="C9:C10"/>
    <mergeCell ref="D9:D10"/>
    <mergeCell ref="E9:E10"/>
    <mergeCell ref="F9:F10"/>
    <mergeCell ref="H9:H10"/>
    <mergeCell ref="J9:K9"/>
    <mergeCell ref="I10:I12"/>
    <mergeCell ref="J10:K12"/>
    <mergeCell ref="G9:G10"/>
    <mergeCell ref="B4:C4"/>
    <mergeCell ref="I58:J58"/>
    <mergeCell ref="B60:C60"/>
    <mergeCell ref="D60:H60"/>
    <mergeCell ref="J112:K112"/>
    <mergeCell ref="D112:H112"/>
    <mergeCell ref="D113:D114"/>
    <mergeCell ref="E113:E114"/>
    <mergeCell ref="F113:F114"/>
    <mergeCell ref="G113:G114"/>
    <mergeCell ref="H113:H114"/>
    <mergeCell ref="J113:K113"/>
    <mergeCell ref="I114:I116"/>
    <mergeCell ref="J114:K116"/>
    <mergeCell ref="B112:C112"/>
    <mergeCell ref="B113:B115"/>
    <mergeCell ref="C113:C114"/>
    <mergeCell ref="C106:F106"/>
    <mergeCell ref="I110:J110"/>
    <mergeCell ref="J60:K60"/>
    <mergeCell ref="B61:B63"/>
    <mergeCell ref="C61:C62"/>
    <mergeCell ref="D61:D62"/>
    <mergeCell ref="I162:J162"/>
    <mergeCell ref="B164:C164"/>
    <mergeCell ref="D164:H164"/>
    <mergeCell ref="J164:K164"/>
    <mergeCell ref="E61:E62"/>
    <mergeCell ref="F61:F62"/>
    <mergeCell ref="G61:G62"/>
    <mergeCell ref="H61:H62"/>
    <mergeCell ref="J61:K61"/>
    <mergeCell ref="I62:I64"/>
    <mergeCell ref="J62:K64"/>
    <mergeCell ref="I214:J214"/>
    <mergeCell ref="B216:C216"/>
    <mergeCell ref="D216:H216"/>
    <mergeCell ref="J216:K216"/>
    <mergeCell ref="G165:G166"/>
    <mergeCell ref="H165:H166"/>
    <mergeCell ref="J165:K165"/>
    <mergeCell ref="I166:I168"/>
    <mergeCell ref="J166:K168"/>
    <mergeCell ref="B165:B167"/>
    <mergeCell ref="C165:C166"/>
    <mergeCell ref="D165:D166"/>
    <mergeCell ref="E165:E166"/>
    <mergeCell ref="F165:F166"/>
    <mergeCell ref="B214:C214"/>
    <mergeCell ref="C262:F262"/>
    <mergeCell ref="I266:J266"/>
    <mergeCell ref="B268:C268"/>
    <mergeCell ref="D268:H268"/>
    <mergeCell ref="J268:K268"/>
    <mergeCell ref="G217:G218"/>
    <mergeCell ref="H217:H218"/>
    <mergeCell ref="J217:K217"/>
    <mergeCell ref="I218:I220"/>
    <mergeCell ref="J218:K220"/>
    <mergeCell ref="B217:B219"/>
    <mergeCell ref="C217:C218"/>
    <mergeCell ref="D217:D218"/>
    <mergeCell ref="E217:E218"/>
    <mergeCell ref="F217:F218"/>
    <mergeCell ref="B264:C264"/>
    <mergeCell ref="B266:C266"/>
    <mergeCell ref="C314:F314"/>
    <mergeCell ref="I318:J318"/>
    <mergeCell ref="B320:C320"/>
    <mergeCell ref="D320:H320"/>
    <mergeCell ref="J320:K320"/>
    <mergeCell ref="G269:G270"/>
    <mergeCell ref="H269:H270"/>
    <mergeCell ref="J269:K269"/>
    <mergeCell ref="I270:I272"/>
    <mergeCell ref="J270:K272"/>
    <mergeCell ref="B269:B271"/>
    <mergeCell ref="C269:C270"/>
    <mergeCell ref="D269:D270"/>
    <mergeCell ref="E269:E270"/>
    <mergeCell ref="F269:F270"/>
    <mergeCell ref="B316:C316"/>
    <mergeCell ref="B318:C318"/>
    <mergeCell ref="C366:F366"/>
    <mergeCell ref="I370:J370"/>
    <mergeCell ref="B372:C372"/>
    <mergeCell ref="D372:H372"/>
    <mergeCell ref="J372:K372"/>
    <mergeCell ref="B370:C370"/>
    <mergeCell ref="G321:G322"/>
    <mergeCell ref="H321:H322"/>
    <mergeCell ref="J321:K321"/>
    <mergeCell ref="I322:I324"/>
    <mergeCell ref="J322:K324"/>
    <mergeCell ref="B321:B323"/>
    <mergeCell ref="C321:C322"/>
    <mergeCell ref="D321:D322"/>
    <mergeCell ref="E321:E322"/>
    <mergeCell ref="F321:F322"/>
    <mergeCell ref="B368:C368"/>
    <mergeCell ref="C418:F418"/>
    <mergeCell ref="I422:J422"/>
    <mergeCell ref="B424:C424"/>
    <mergeCell ref="D424:H424"/>
    <mergeCell ref="J424:K424"/>
    <mergeCell ref="B420:C420"/>
    <mergeCell ref="B422:C422"/>
    <mergeCell ref="G373:G374"/>
    <mergeCell ref="H373:H374"/>
    <mergeCell ref="J373:K373"/>
    <mergeCell ref="I374:I376"/>
    <mergeCell ref="J374:K376"/>
    <mergeCell ref="B373:B375"/>
    <mergeCell ref="C373:C374"/>
    <mergeCell ref="D373:D374"/>
    <mergeCell ref="E373:E374"/>
    <mergeCell ref="F373:F374"/>
    <mergeCell ref="C470:F470"/>
    <mergeCell ref="I474:J474"/>
    <mergeCell ref="B476:C476"/>
    <mergeCell ref="D476:H476"/>
    <mergeCell ref="J476:K476"/>
    <mergeCell ref="B472:C472"/>
    <mergeCell ref="B474:C474"/>
    <mergeCell ref="G425:G426"/>
    <mergeCell ref="H425:H426"/>
    <mergeCell ref="J425:K425"/>
    <mergeCell ref="I426:I428"/>
    <mergeCell ref="J426:K428"/>
    <mergeCell ref="B425:B427"/>
    <mergeCell ref="C425:C426"/>
    <mergeCell ref="D425:D426"/>
    <mergeCell ref="E425:E426"/>
    <mergeCell ref="F425:F426"/>
    <mergeCell ref="G477:G478"/>
    <mergeCell ref="H477:H478"/>
    <mergeCell ref="J477:K477"/>
    <mergeCell ref="I478:I480"/>
    <mergeCell ref="J478:K480"/>
    <mergeCell ref="B477:B479"/>
    <mergeCell ref="C477:C478"/>
    <mergeCell ref="D477:D478"/>
    <mergeCell ref="E477:E478"/>
    <mergeCell ref="F477:F478"/>
    <mergeCell ref="C529:C530"/>
    <mergeCell ref="D529:D530"/>
    <mergeCell ref="E529:E530"/>
    <mergeCell ref="F529:F530"/>
    <mergeCell ref="C522:F522"/>
    <mergeCell ref="I526:J526"/>
    <mergeCell ref="B528:C528"/>
    <mergeCell ref="D528:H528"/>
    <mergeCell ref="J528:K528"/>
    <mergeCell ref="B524:C524"/>
    <mergeCell ref="B526:C526"/>
    <mergeCell ref="G581:G582"/>
    <mergeCell ref="H581:H582"/>
    <mergeCell ref="J581:K581"/>
    <mergeCell ref="I582:I584"/>
    <mergeCell ref="J582:K584"/>
    <mergeCell ref="B581:B583"/>
    <mergeCell ref="C581:C582"/>
    <mergeCell ref="D581:D582"/>
    <mergeCell ref="E581:E582"/>
    <mergeCell ref="F581:F582"/>
    <mergeCell ref="C574:F574"/>
    <mergeCell ref="I578:J578"/>
    <mergeCell ref="B580:C580"/>
    <mergeCell ref="D580:H580"/>
    <mergeCell ref="J580:K580"/>
    <mergeCell ref="B576:C576"/>
    <mergeCell ref="B578:C578"/>
    <mergeCell ref="G529:G530"/>
    <mergeCell ref="B6:C6"/>
    <mergeCell ref="B56:C56"/>
    <mergeCell ref="B58:C58"/>
    <mergeCell ref="B108:C108"/>
    <mergeCell ref="B110:C110"/>
    <mergeCell ref="B160:C160"/>
    <mergeCell ref="B162:C162"/>
    <mergeCell ref="B212:C212"/>
    <mergeCell ref="C210:F210"/>
    <mergeCell ref="C158:F158"/>
    <mergeCell ref="C54:F54"/>
    <mergeCell ref="H529:H530"/>
    <mergeCell ref="J529:K529"/>
    <mergeCell ref="I530:I532"/>
    <mergeCell ref="J530:K532"/>
    <mergeCell ref="B529:B531"/>
  </mergeCells>
  <conditionalFormatting sqref="C14:C44 C102:C105 C206:C209 C310:C313 C570:C573 C622:C653 C66:C96 C118:C148 C170:C200 C222:C252 C274:C304 C326:C356 C378:C408 C430:C460 C482:C512 C534:C564 C586:C616 C518:C521 C414:C417 C362:C365 C258:C261 C154:C157 C50:C53">
    <cfRule type="expression" dxfId="1" priority="1" stopIfTrue="1">
      <formula>NETWORKDAYS($B14,$B14,Feiertage)=0</formula>
    </cfRule>
  </conditionalFormatting>
  <conditionalFormatting sqref="D14:D44 D102:D105 D206:D209 D310:D313 D570:D573 D622:D653 D518:D521 D414:D417 D362:D365 D258:D261 D154:D157 D50:D53 D66:D96 D118:D148 D170:D200 D222:D252 D274:D304 D326:D356 D378:D408 D430:D460 D482:D512 D534:D564 D586:D616">
    <cfRule type="expression" dxfId="0" priority="44" stopIfTrue="1">
      <formula>L14="Feiertag"</formula>
    </cfRule>
  </conditionalFormatting>
  <pageMargins left="0.31496062992125984" right="0.31496062992125984" top="1.1811023622047245" bottom="0.39370078740157483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P19"/>
  <sheetViews>
    <sheetView zoomScale="110" zoomScaleNormal="110" workbookViewId="0">
      <selection activeCell="O14" sqref="O14"/>
    </sheetView>
  </sheetViews>
  <sheetFormatPr baseColWidth="10" defaultColWidth="11.42578125" defaultRowHeight="15" x14ac:dyDescent="0.3"/>
  <cols>
    <col min="1" max="1" width="12.7109375" style="1" bestFit="1" customWidth="1"/>
    <col min="2" max="3" width="3.5703125" style="9" customWidth="1"/>
    <col min="4" max="4" width="11.42578125" style="1"/>
    <col min="5" max="5" width="15.140625" style="1" customWidth="1"/>
    <col min="6" max="6" width="11.42578125" style="1"/>
    <col min="7" max="7" width="23.5703125" style="1" customWidth="1"/>
    <col min="8" max="8" width="8" style="11" customWidth="1"/>
    <col min="9" max="9" width="14" style="1" customWidth="1"/>
    <col min="10" max="10" width="4.140625" style="11" customWidth="1"/>
    <col min="11" max="11" width="15.42578125" style="1" customWidth="1"/>
    <col min="12" max="12" width="3" style="1" customWidth="1"/>
    <col min="13" max="13" width="3.85546875" style="1" customWidth="1"/>
    <col min="14" max="14" width="11.42578125" style="1"/>
    <col min="15" max="15" width="39" style="1" customWidth="1"/>
    <col min="16" max="16" width="22.85546875" style="1" customWidth="1"/>
    <col min="17" max="16384" width="11.42578125" style="1"/>
  </cols>
  <sheetData>
    <row r="1" spans="1:16" ht="15.75" thickBot="1" x14ac:dyDescent="0.35">
      <c r="A1" s="152">
        <f>YEAR(Voreinstellung_Übersicht!C20)</f>
        <v>2019</v>
      </c>
      <c r="M1" s="354"/>
      <c r="N1" s="354"/>
      <c r="O1" s="354"/>
      <c r="P1" s="354"/>
    </row>
    <row r="2" spans="1:16" ht="16.5" customHeight="1" thickBot="1" x14ac:dyDescent="0.35">
      <c r="A2" s="437" t="s">
        <v>80</v>
      </c>
      <c r="B2" s="438"/>
      <c r="C2" s="10"/>
      <c r="D2" s="437" t="s">
        <v>81</v>
      </c>
      <c r="E2" s="439"/>
      <c r="G2" s="442" t="s">
        <v>82</v>
      </c>
      <c r="H2" s="443"/>
      <c r="I2" s="444"/>
      <c r="M2" s="446" t="s">
        <v>83</v>
      </c>
      <c r="N2" s="447"/>
      <c r="O2" s="448"/>
      <c r="P2" s="436" t="s">
        <v>84</v>
      </c>
    </row>
    <row r="3" spans="1:16" x14ac:dyDescent="0.3">
      <c r="A3" s="4">
        <f>B3</f>
        <v>42004</v>
      </c>
      <c r="B3" s="153">
        <f>DATE(A1,1,1)</f>
        <v>42004</v>
      </c>
      <c r="C3" s="154">
        <v>1</v>
      </c>
      <c r="D3" s="440" t="s">
        <v>85</v>
      </c>
      <c r="E3" s="441"/>
      <c r="G3" s="138" t="s">
        <v>86</v>
      </c>
      <c r="H3" s="141">
        <v>0.25</v>
      </c>
      <c r="I3" s="142" t="s">
        <v>87</v>
      </c>
      <c r="M3" s="355" t="s">
        <v>88</v>
      </c>
      <c r="N3" s="356">
        <v>40</v>
      </c>
      <c r="O3" s="356" t="s">
        <v>89</v>
      </c>
      <c r="P3" s="436"/>
    </row>
    <row r="4" spans="1:16" x14ac:dyDescent="0.3">
      <c r="A4" s="4">
        <f t="shared" ref="A4:A18" si="0">B4</f>
        <v>42112</v>
      </c>
      <c r="B4" s="153">
        <f>B6-2</f>
        <v>42112</v>
      </c>
      <c r="C4" s="154">
        <v>1</v>
      </c>
      <c r="D4" s="440" t="s">
        <v>90</v>
      </c>
      <c r="E4" s="441"/>
      <c r="G4" s="138" t="s">
        <v>91</v>
      </c>
      <c r="H4" s="141">
        <v>0.875</v>
      </c>
      <c r="I4" s="142" t="s">
        <v>87</v>
      </c>
      <c r="M4" s="355" t="s">
        <v>25</v>
      </c>
      <c r="N4" s="356">
        <v>40</v>
      </c>
      <c r="O4" s="356" t="s">
        <v>92</v>
      </c>
      <c r="P4" s="436"/>
    </row>
    <row r="5" spans="1:16" ht="15.75" thickBot="1" x14ac:dyDescent="0.35">
      <c r="A5" s="4">
        <f t="shared" si="0"/>
        <v>42113</v>
      </c>
      <c r="B5" s="153">
        <f>B6-1</f>
        <v>42113</v>
      </c>
      <c r="C5" s="154">
        <v>2</v>
      </c>
      <c r="D5" s="440" t="s">
        <v>93</v>
      </c>
      <c r="E5" s="441"/>
      <c r="G5" s="138" t="s">
        <v>94</v>
      </c>
      <c r="H5" s="141">
        <v>0.54166666666666663</v>
      </c>
      <c r="I5" s="142" t="s">
        <v>87</v>
      </c>
      <c r="M5" s="357" t="s">
        <v>25</v>
      </c>
      <c r="N5" s="358">
        <v>50</v>
      </c>
      <c r="O5" s="358" t="s">
        <v>95</v>
      </c>
      <c r="P5" s="436"/>
    </row>
    <row r="6" spans="1:16" s="29" customFormat="1" ht="30.75" thickBot="1" x14ac:dyDescent="0.3">
      <c r="A6" s="143">
        <f t="shared" si="0"/>
        <v>42114</v>
      </c>
      <c r="B6" s="155">
        <f>(TEXT(IF(MOD(19*MOD(A1,19)+INT(A1/100)-INT(INT(A1/100)/4)-INT((INT(A1/100)-INT((INT(A1/100)+8)/25)+1)/3)+15,30)+MOD(32+2*MOD(INT(A1/100),4)+2*INT(MOD(A1,100)/4)-MOD(19*MOD(A1,19)+INT(A1/100)-INT(INT(A1/100)/4)-INT((INT(A1/100)-INT((INT(A1/100)+8)/25)+1)/3)+15,30)-MOD(MOD(A1,100),4),7)-7*INT((MOD(A1,19)+11*MOD(19*MOD(A1,19)+INT(A1/100)-INT(INT(A1/100)/4)-INT((INT(A1/100)-INT((INT(A1/100)+8)/25)+1)/3)+15,30)+22*MOD(32+2*MOD(INT(A1/100),4)+2*INT(MOD(A1,100)/4)-MOD(19*MOD(A1,19)+INT(A1/100)-INT(INT(A1/100)/4)-INT((INT(A1/100)-INT((INT(A1/100)+8)/25)+1)/3)+15,30)-MOD(MOD(A1,100),4),7))/451)+22-31 &lt; 1,MOD(19*MOD(A1,19)+INT(A1/100)-INT(INT(A1/100)/4)-INT((INT(A1/100)-INT((INT(A1/100)+8)/25)+1)/3)+15,30)+MOD(32+2*MOD(INT(A1/100),4)+2*INT(MOD(A1,100)/4)-MOD(19*MOD(A1,19)+INT(A1/100)-INT(INT(A1/100)/4)-INT((INT(A1/100)-INT((INT(A1/100)+8)/25)+1)/3)+15,30)-MOD(MOD(A1,100),4),7)-7*INT((MOD(A1,19)+11*MOD(19*MOD(A1,19)+INT(A1/100)-INT(INT(A1/100)/4)-INT((INT(A1/100)-INT((INT(A1/100)+8)/25)+1)/3)+15,30)+22*MOD(32+2*MOD(INT(A1/100),4)+2*INT(MOD(A1,100)/4)-MOD(19*MOD(A1,19)+INT(A1/100)-INT(INT(A1/100)/4)-INT((INT(A1/100)-INT((INT(A1/100)+8)/25)+1)/3)+15,30)-MOD(MOD(A1,100),4),7))/451)+22,MOD(19*MOD(A1,19)+INT(A1/100)-INT(INT(A1/100)/4)-INT((INT(A1/100)-INT((INT(A1/100)+8)/25)+1)/3)+15,30)+MOD(32+2*MOD(INT(A1/100),4)+2*INT(MOD(A1,100)/4)-MOD(19*MOD(A1,19)+INT(A1/100)-INT(INT(A1/100)/4)-INT((INT(A1/100)-INT((INT(A1/100)+8)/25)+1)/3)+15,30)-MOD(MOD(A1,100),4),7)-7*INT((MOD(A1,19)+11*MOD(19*MOD(A1,19)+INT(A1/100)-INT(INT(A1/100)/4)-INT((INT(A1/100)-INT((INT(A1/100)+8)/25)+1)/3)+15,30)+22*MOD(32+2*MOD(INT(A1/100),4)+2*INT(MOD(A1,100)/4)-MOD(19*MOD(A1,19)+INT(A1/100)-INT(INT(A1/100)/4)-INT((INT(A1/100)-INT((INT(A1/100)+8)/25)+1)/3)+15,30)-MOD(MOD(A1,100),4),7))/451)+22-31),"0#")&amp;"."&amp;IF(MOD(19*MOD(A1,19)+INT(A1/100)-INT(INT(A1/100)/4)-INT((INT(A1/100)-INT((INT(A1/100)+8)/25)+1)/3)+15,30)+MOD(32+2*MOD(INT(A1/100),4)+2*INT(MOD(A1,100)/4)-MOD(19*MOD(A1,19)+INT(A1/100)-INT(INT(A1/100)/4)-INT((INT(A1/100)-INT((INT(A1/100)+8)/25)+1)/3)+15,30)-MOD(MOD(A1,100),4),7)-7*INT((MOD(A1,19)+11*MOD(19*MOD(A1,19)+INT(A1/100)-INT(INT(A1/100)/4)-INT((INT(A1/100)-INT((INT(A1/100)+8)/25)+1)/3)+15,30)+22*MOD(32+2*MOD(INT(A1/100),4)+2*INT(MOD(A1,100)/4)-MOD(19*MOD(A1,19)+INT(A1/100)-INT(INT(A1/100)/4)-INT((INT(A1/100)-INT((INT(A1/100)+8)/25)+1)/3)+15,30)-MOD(MOD(A1,100),4),7))/451)+22 &gt; 31,"04.","03.")&amp;A1)+0</f>
        <v>42114</v>
      </c>
      <c r="C6" s="156">
        <v>1</v>
      </c>
      <c r="D6" s="390" t="s">
        <v>96</v>
      </c>
      <c r="E6" s="392"/>
      <c r="G6" s="144" t="s">
        <v>97</v>
      </c>
      <c r="H6" s="145">
        <v>0</v>
      </c>
      <c r="I6" s="146" t="s">
        <v>87</v>
      </c>
      <c r="J6" s="26"/>
      <c r="M6" s="359"/>
      <c r="N6" s="359"/>
      <c r="O6" s="359"/>
      <c r="P6" s="436"/>
    </row>
    <row r="7" spans="1:16" ht="15.75" thickBot="1" x14ac:dyDescent="0.35">
      <c r="A7" s="4">
        <f t="shared" si="0"/>
        <v>42115</v>
      </c>
      <c r="B7" s="153">
        <f>B6+1</f>
        <v>42115</v>
      </c>
      <c r="C7" s="154">
        <v>1</v>
      </c>
      <c r="D7" s="440" t="s">
        <v>98</v>
      </c>
      <c r="E7" s="441"/>
      <c r="G7" s="445" t="s">
        <v>99</v>
      </c>
      <c r="H7" s="445"/>
      <c r="I7" s="445"/>
      <c r="M7" s="449" t="s">
        <v>100</v>
      </c>
      <c r="N7" s="450"/>
      <c r="O7" s="451"/>
      <c r="P7" s="436"/>
    </row>
    <row r="8" spans="1:16" x14ac:dyDescent="0.3">
      <c r="A8" s="4">
        <f t="shared" si="0"/>
        <v>42124</v>
      </c>
      <c r="B8" s="153">
        <f>DATE(A1,5,1)</f>
        <v>42124</v>
      </c>
      <c r="C8" s="154">
        <v>1</v>
      </c>
      <c r="D8" s="440" t="s">
        <v>101</v>
      </c>
      <c r="E8" s="441"/>
      <c r="G8" s="165" t="s">
        <v>72</v>
      </c>
      <c r="H8" s="247">
        <v>30</v>
      </c>
      <c r="I8" s="163" t="s">
        <v>102</v>
      </c>
      <c r="J8" s="162">
        <v>15</v>
      </c>
      <c r="K8" s="164" t="s">
        <v>103</v>
      </c>
      <c r="L8" s="152"/>
      <c r="M8" s="360" t="s">
        <v>88</v>
      </c>
      <c r="N8" s="361">
        <v>-10</v>
      </c>
      <c r="O8" s="361" t="s">
        <v>89</v>
      </c>
      <c r="P8" s="436"/>
    </row>
    <row r="9" spans="1:16" ht="15.75" thickBot="1" x14ac:dyDescent="0.35">
      <c r="A9" s="4">
        <f t="shared" si="0"/>
        <v>42153</v>
      </c>
      <c r="B9" s="153">
        <f>B6+39</f>
        <v>42153</v>
      </c>
      <c r="C9" s="154">
        <v>1</v>
      </c>
      <c r="D9" s="440" t="s">
        <v>104</v>
      </c>
      <c r="E9" s="441"/>
      <c r="G9" s="139" t="s">
        <v>105</v>
      </c>
      <c r="H9" s="456">
        <v>20</v>
      </c>
      <c r="I9" s="457"/>
      <c r="J9" s="452" t="s">
        <v>106</v>
      </c>
      <c r="K9" s="453"/>
      <c r="M9" s="362" t="s">
        <v>25</v>
      </c>
      <c r="N9" s="363">
        <v>-20</v>
      </c>
      <c r="O9" s="363" t="s">
        <v>107</v>
      </c>
      <c r="P9" s="436"/>
    </row>
    <row r="10" spans="1:16" x14ac:dyDescent="0.3">
      <c r="A10" s="4">
        <f t="shared" si="0"/>
        <v>42162</v>
      </c>
      <c r="B10" s="153">
        <f>B6+48</f>
        <v>42162</v>
      </c>
      <c r="C10" s="154">
        <v>2</v>
      </c>
      <c r="D10" s="440" t="s">
        <v>108</v>
      </c>
      <c r="E10" s="441"/>
      <c r="G10" s="139" t="s">
        <v>109</v>
      </c>
      <c r="H10" s="456">
        <v>25</v>
      </c>
      <c r="I10" s="457"/>
      <c r="J10" s="452" t="s">
        <v>106</v>
      </c>
      <c r="K10" s="453"/>
      <c r="M10" s="364"/>
      <c r="N10" s="364"/>
      <c r="O10" s="364"/>
      <c r="P10" s="436"/>
    </row>
    <row r="11" spans="1:16" x14ac:dyDescent="0.3">
      <c r="A11" s="4">
        <f t="shared" si="0"/>
        <v>42163</v>
      </c>
      <c r="B11" s="153">
        <f>B6+49</f>
        <v>42163</v>
      </c>
      <c r="C11" s="154">
        <v>1</v>
      </c>
      <c r="D11" s="440" t="s">
        <v>110</v>
      </c>
      <c r="E11" s="441"/>
      <c r="G11" s="139" t="s">
        <v>111</v>
      </c>
      <c r="H11" s="456">
        <v>135</v>
      </c>
      <c r="I11" s="457"/>
      <c r="J11" s="452" t="s">
        <v>106</v>
      </c>
      <c r="K11" s="453"/>
      <c r="M11" s="364"/>
      <c r="N11" s="364"/>
      <c r="O11" s="364"/>
      <c r="P11" s="436"/>
    </row>
    <row r="12" spans="1:16" x14ac:dyDescent="0.3">
      <c r="A12" s="4">
        <f t="shared" si="0"/>
        <v>42164</v>
      </c>
      <c r="B12" s="153">
        <f>B6+50</f>
        <v>42164</v>
      </c>
      <c r="C12" s="154">
        <v>1</v>
      </c>
      <c r="D12" s="440" t="s">
        <v>112</v>
      </c>
      <c r="E12" s="441"/>
      <c r="G12" s="139" t="s">
        <v>113</v>
      </c>
      <c r="H12" s="456">
        <v>35</v>
      </c>
      <c r="I12" s="457"/>
      <c r="J12" s="452" t="s">
        <v>106</v>
      </c>
      <c r="K12" s="453"/>
      <c r="M12" s="352"/>
      <c r="N12" s="352"/>
      <c r="O12" s="352"/>
      <c r="P12" s="352"/>
    </row>
    <row r="13" spans="1:16" x14ac:dyDescent="0.3">
      <c r="A13" s="4">
        <f t="shared" si="0"/>
        <v>42279</v>
      </c>
      <c r="B13" s="153">
        <f>DATE(A1,10,3)</f>
        <v>42279</v>
      </c>
      <c r="C13" s="154">
        <v>1</v>
      </c>
      <c r="D13" s="440" t="s">
        <v>114</v>
      </c>
      <c r="E13" s="441"/>
      <c r="G13" s="139" t="s">
        <v>115</v>
      </c>
      <c r="H13" s="456">
        <v>35</v>
      </c>
      <c r="I13" s="457"/>
      <c r="J13" s="452" t="s">
        <v>106</v>
      </c>
      <c r="K13" s="453"/>
      <c r="M13" s="352"/>
      <c r="N13" s="352"/>
      <c r="O13" s="352"/>
      <c r="P13" s="352"/>
    </row>
    <row r="14" spans="1:16" ht="15.75" thickBot="1" x14ac:dyDescent="0.35">
      <c r="A14" s="4">
        <f t="shared" si="0"/>
        <v>42307</v>
      </c>
      <c r="B14" s="153">
        <f>DATE(A1,10,31)</f>
        <v>42307</v>
      </c>
      <c r="C14" s="154">
        <v>1</v>
      </c>
      <c r="D14" s="440" t="s">
        <v>116</v>
      </c>
      <c r="E14" s="441"/>
      <c r="G14" s="140" t="s">
        <v>117</v>
      </c>
      <c r="H14" s="458">
        <v>20</v>
      </c>
      <c r="I14" s="459"/>
      <c r="J14" s="454" t="s">
        <v>106</v>
      </c>
      <c r="K14" s="455"/>
    </row>
    <row r="15" spans="1:16" x14ac:dyDescent="0.3">
      <c r="A15" s="4">
        <f t="shared" si="0"/>
        <v>42327</v>
      </c>
      <c r="B15" s="153">
        <f>DATE(A1,12,25)-WEEKDAY(DATE(A1,12,25),2)-32</f>
        <v>42327</v>
      </c>
      <c r="C15" s="154">
        <v>1</v>
      </c>
      <c r="D15" s="440" t="s">
        <v>118</v>
      </c>
      <c r="E15" s="441"/>
    </row>
    <row r="16" spans="1:16" x14ac:dyDescent="0.3">
      <c r="A16" s="4">
        <f>B16</f>
        <v>42361</v>
      </c>
      <c r="B16" s="153">
        <f>DATE(A1,12,24)</f>
        <v>42361</v>
      </c>
      <c r="C16" s="154">
        <v>1</v>
      </c>
      <c r="D16" s="440" t="s">
        <v>119</v>
      </c>
      <c r="E16" s="441"/>
    </row>
    <row r="17" spans="1:5" x14ac:dyDescent="0.3">
      <c r="A17" s="4">
        <f t="shared" si="0"/>
        <v>42362</v>
      </c>
      <c r="B17" s="153">
        <f>DATE(A1,12,25)</f>
        <v>42362</v>
      </c>
      <c r="C17" s="154">
        <v>1</v>
      </c>
      <c r="D17" s="440" t="s">
        <v>120</v>
      </c>
      <c r="E17" s="441"/>
    </row>
    <row r="18" spans="1:5" x14ac:dyDescent="0.3">
      <c r="A18" s="4">
        <f t="shared" si="0"/>
        <v>42363</v>
      </c>
      <c r="B18" s="153">
        <f>DATE(A1,12,26)</f>
        <v>42363</v>
      </c>
      <c r="C18" s="154">
        <v>1</v>
      </c>
      <c r="D18" s="440" t="s">
        <v>121</v>
      </c>
      <c r="E18" s="441"/>
    </row>
    <row r="19" spans="1:5" ht="15.75" thickBot="1" x14ac:dyDescent="0.35">
      <c r="A19" s="5">
        <f>B19</f>
        <v>42368</v>
      </c>
      <c r="B19" s="157">
        <f>DATE(A1,12,31)</f>
        <v>42368</v>
      </c>
      <c r="C19" s="158">
        <v>1</v>
      </c>
      <c r="D19" s="460" t="s">
        <v>122</v>
      </c>
      <c r="E19" s="461"/>
    </row>
  </sheetData>
  <sheetProtection password="D3C6" sheet="1" selectLockedCells="1"/>
  <mergeCells count="36">
    <mergeCell ref="D19:E19"/>
    <mergeCell ref="D17:E17"/>
    <mergeCell ref="D12:E12"/>
    <mergeCell ref="D18:E18"/>
    <mergeCell ref="D13:E13"/>
    <mergeCell ref="D14:E14"/>
    <mergeCell ref="D16:E16"/>
    <mergeCell ref="D15:E15"/>
    <mergeCell ref="J12:K12"/>
    <mergeCell ref="J13:K13"/>
    <mergeCell ref="J14:K14"/>
    <mergeCell ref="H9:I9"/>
    <mergeCell ref="H10:I10"/>
    <mergeCell ref="H11:I11"/>
    <mergeCell ref="H12:I12"/>
    <mergeCell ref="H13:I13"/>
    <mergeCell ref="H14:I14"/>
    <mergeCell ref="J9:K9"/>
    <mergeCell ref="J10:K10"/>
    <mergeCell ref="J11:K11"/>
    <mergeCell ref="P2:P11"/>
    <mergeCell ref="A2:B2"/>
    <mergeCell ref="D2:E2"/>
    <mergeCell ref="D3:E3"/>
    <mergeCell ref="D4:E4"/>
    <mergeCell ref="D5:E5"/>
    <mergeCell ref="D6:E6"/>
    <mergeCell ref="G2:I2"/>
    <mergeCell ref="D7:E7"/>
    <mergeCell ref="D8:E8"/>
    <mergeCell ref="D9:E9"/>
    <mergeCell ref="G7:I7"/>
    <mergeCell ref="M2:O2"/>
    <mergeCell ref="M7:O7"/>
    <mergeCell ref="D10:E10"/>
    <mergeCell ref="D11:E1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CZ50"/>
  <sheetViews>
    <sheetView zoomScale="80" zoomScaleNormal="80" workbookViewId="0">
      <selection activeCell="G8" sqref="G8"/>
    </sheetView>
  </sheetViews>
  <sheetFormatPr baseColWidth="10" defaultColWidth="11.42578125" defaultRowHeight="15" x14ac:dyDescent="0.3"/>
  <cols>
    <col min="1" max="1" width="5.5703125" style="11" customWidth="1"/>
    <col min="2" max="2" width="12.7109375" style="47" bestFit="1" customWidth="1"/>
    <col min="3" max="3" width="13.7109375" style="6" hidden="1" customWidth="1"/>
    <col min="4" max="4" width="11.5703125" style="6" hidden="1" customWidth="1"/>
    <col min="5" max="5" width="15.7109375" style="12" customWidth="1"/>
    <col min="6" max="6" width="6.28515625" style="66" customWidth="1"/>
    <col min="7" max="7" width="6" style="66" customWidth="1"/>
    <col min="8" max="9" width="11.5703125" style="26" bestFit="1" customWidth="1"/>
    <col min="10" max="10" width="11.5703125" style="6" hidden="1" customWidth="1"/>
    <col min="11" max="11" width="11.42578125" style="26" customWidth="1"/>
    <col min="12" max="12" width="11.5703125" style="6" hidden="1" customWidth="1"/>
    <col min="13" max="14" width="11.5703125" style="26" bestFit="1" customWidth="1"/>
    <col min="15" max="15" width="11.5703125" style="6" hidden="1" customWidth="1"/>
    <col min="16" max="16" width="11.42578125" style="26"/>
    <col min="17" max="19" width="11.5703125" style="6" hidden="1" customWidth="1"/>
    <col min="20" max="21" width="11.5703125" style="26" bestFit="1" customWidth="1"/>
    <col min="22" max="23" width="11.42578125" style="26"/>
    <col min="24" max="24" width="25.7109375" style="48" customWidth="1"/>
    <col min="25" max="25" width="11.42578125" style="7" hidden="1" customWidth="1"/>
    <col min="26" max="26" width="11.42578125" style="8" hidden="1" customWidth="1"/>
    <col min="27" max="27" width="11.42578125" style="174" hidden="1" customWidth="1"/>
    <col min="28" max="39" width="11.42578125" style="6" hidden="1" customWidth="1"/>
    <col min="40" max="40" width="11.42578125" style="13" hidden="1" customWidth="1"/>
    <col min="41" max="45" width="11.42578125" style="6" hidden="1" customWidth="1"/>
    <col min="46" max="47" width="11.42578125" style="14" hidden="1" customWidth="1"/>
    <col min="48" max="48" width="11.42578125" style="26"/>
    <col min="49" max="49" width="13.7109375" style="26" customWidth="1"/>
    <col min="50" max="52" width="11.42578125" style="26"/>
    <col min="53" max="53" width="13" style="26" customWidth="1"/>
    <col min="54" max="54" width="18.140625" style="1" customWidth="1"/>
    <col min="55" max="57" width="12" style="6" hidden="1" customWidth="1"/>
    <col min="58" max="58" width="11.42578125" style="1" hidden="1" customWidth="1"/>
    <col min="59" max="16384" width="11.42578125" style="1"/>
  </cols>
  <sheetData>
    <row r="1" spans="1:58" ht="15.75" thickBot="1" x14ac:dyDescent="0.35">
      <c r="A1" s="26"/>
      <c r="Q1" s="6" t="s">
        <v>123</v>
      </c>
      <c r="R1" s="315" t="b">
        <v>0</v>
      </c>
    </row>
    <row r="2" spans="1:58" ht="16.5" customHeight="1" x14ac:dyDescent="0.3">
      <c r="A2" s="26"/>
      <c r="B2" s="71" t="s">
        <v>1</v>
      </c>
      <c r="C2" s="222" t="str">
        <f>Name</f>
        <v>Max Mustermann</v>
      </c>
      <c r="D2" s="222"/>
      <c r="E2" s="466" t="str">
        <f>C2</f>
        <v>Max Mustermann</v>
      </c>
      <c r="F2" s="466"/>
      <c r="G2" s="466"/>
      <c r="H2" s="471" t="s">
        <v>7</v>
      </c>
      <c r="I2" s="471"/>
      <c r="J2" s="222"/>
      <c r="K2" s="69">
        <f>Personalnummer</f>
        <v>123456789</v>
      </c>
      <c r="L2" s="219"/>
      <c r="O2" s="219"/>
      <c r="Q2" s="219"/>
      <c r="R2" s="219"/>
      <c r="S2" s="219"/>
      <c r="Y2" s="221"/>
      <c r="Z2" s="295"/>
      <c r="AA2" s="296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474"/>
      <c r="AO2" s="474"/>
      <c r="AP2" s="474"/>
      <c r="AQ2" s="474"/>
      <c r="AR2" s="474"/>
      <c r="AS2" s="474"/>
      <c r="AT2" s="470" t="s">
        <v>124</v>
      </c>
      <c r="AU2" s="470"/>
      <c r="BB2" s="29"/>
      <c r="BC2" s="219"/>
      <c r="BD2" s="219"/>
      <c r="BE2" s="219"/>
    </row>
    <row r="3" spans="1:58" ht="16.5" customHeight="1" x14ac:dyDescent="0.3">
      <c r="A3" s="26"/>
      <c r="B3" s="72" t="s">
        <v>125</v>
      </c>
      <c r="C3" s="223">
        <f>Jahr</f>
        <v>42004</v>
      </c>
      <c r="D3" s="223"/>
      <c r="E3" s="468">
        <f>Jahr</f>
        <v>42004</v>
      </c>
      <c r="F3" s="468"/>
      <c r="G3" s="468"/>
      <c r="H3" s="472" t="s">
        <v>5</v>
      </c>
      <c r="I3" s="472"/>
      <c r="J3" s="224"/>
      <c r="K3" s="70">
        <f>Geburtstag</f>
        <v>16833</v>
      </c>
      <c r="L3" s="219"/>
      <c r="O3" s="219"/>
      <c r="Q3" s="219"/>
      <c r="R3" s="219"/>
      <c r="S3" s="219"/>
      <c r="Y3" s="221"/>
      <c r="Z3" s="295"/>
      <c r="AA3" s="475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474"/>
      <c r="AO3" s="474"/>
      <c r="AP3" s="474"/>
      <c r="AQ3" s="474"/>
      <c r="AR3" s="474"/>
      <c r="AS3" s="474"/>
      <c r="AT3" s="470"/>
      <c r="AU3" s="470"/>
      <c r="BB3" s="29"/>
      <c r="BC3" s="219"/>
      <c r="BD3" s="219"/>
      <c r="BE3" s="219"/>
    </row>
    <row r="4" spans="1:58" ht="16.5" customHeight="1" thickBot="1" x14ac:dyDescent="0.35">
      <c r="A4" s="26"/>
      <c r="B4" s="322" t="s">
        <v>126</v>
      </c>
      <c r="C4" s="323">
        <f>Jahr</f>
        <v>42004</v>
      </c>
      <c r="D4" s="323"/>
      <c r="E4" s="467">
        <f>B8</f>
        <v>42004</v>
      </c>
      <c r="F4" s="467"/>
      <c r="G4" s="467"/>
      <c r="H4" s="324"/>
      <c r="I4" s="324"/>
      <c r="J4" s="325"/>
      <c r="K4" s="326"/>
      <c r="L4" s="219"/>
      <c r="O4" s="219"/>
      <c r="Q4" s="219"/>
      <c r="R4" s="219"/>
      <c r="S4" s="219"/>
      <c r="Y4" s="221"/>
      <c r="Z4" s="295"/>
      <c r="AA4" s="475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474"/>
      <c r="AO4" s="474"/>
      <c r="AP4" s="474"/>
      <c r="AQ4" s="474"/>
      <c r="AR4" s="474"/>
      <c r="AS4" s="474"/>
      <c r="AT4" s="470"/>
      <c r="AU4" s="470"/>
      <c r="BB4" s="29"/>
      <c r="BC4" s="219"/>
      <c r="BD4" s="219"/>
      <c r="BE4" s="219"/>
    </row>
    <row r="5" spans="1:58" x14ac:dyDescent="0.3">
      <c r="A5" s="26"/>
      <c r="B5" s="73"/>
      <c r="C5" s="225"/>
      <c r="D5" s="225"/>
      <c r="E5" s="67"/>
      <c r="F5" s="67"/>
      <c r="G5" s="67"/>
      <c r="H5" s="68"/>
      <c r="I5" s="68"/>
      <c r="J5" s="226"/>
      <c r="K5" s="68"/>
      <c r="L5" s="219"/>
      <c r="O5" s="219"/>
      <c r="Q5" s="219"/>
      <c r="R5" s="219"/>
      <c r="S5" s="219"/>
      <c r="Y5" s="221"/>
      <c r="Z5" s="295"/>
      <c r="AA5" s="475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73"/>
      <c r="AO5" s="273"/>
      <c r="AP5" s="273"/>
      <c r="AQ5" s="273"/>
      <c r="AR5" s="273"/>
      <c r="AS5" s="273"/>
      <c r="AT5" s="272"/>
      <c r="AU5" s="272"/>
      <c r="BB5" s="29"/>
      <c r="BC5" s="219"/>
      <c r="BD5" s="219"/>
      <c r="BE5" s="219"/>
    </row>
    <row r="6" spans="1:58" ht="27.6" customHeight="1" x14ac:dyDescent="0.3">
      <c r="A6" s="227"/>
      <c r="B6" s="86"/>
      <c r="C6" s="228" t="s">
        <v>127</v>
      </c>
      <c r="D6" s="228" t="s">
        <v>81</v>
      </c>
      <c r="E6" s="297"/>
      <c r="F6" s="465" t="s">
        <v>128</v>
      </c>
      <c r="G6" s="476" t="s">
        <v>129</v>
      </c>
      <c r="H6" s="462" t="s">
        <v>130</v>
      </c>
      <c r="I6" s="464"/>
      <c r="J6" s="464"/>
      <c r="K6" s="464"/>
      <c r="L6" s="464"/>
      <c r="M6" s="464"/>
      <c r="N6" s="464"/>
      <c r="O6" s="464"/>
      <c r="P6" s="464"/>
      <c r="Q6" s="228" t="s">
        <v>131</v>
      </c>
      <c r="R6" s="228">
        <v>0</v>
      </c>
      <c r="S6" s="228">
        <v>1</v>
      </c>
      <c r="T6" s="84"/>
      <c r="U6" s="84"/>
      <c r="V6" s="84"/>
      <c r="W6" s="85"/>
      <c r="X6" s="291"/>
      <c r="Y6" s="221"/>
      <c r="Z6" s="295"/>
      <c r="AA6" s="475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473" t="s">
        <v>82</v>
      </c>
      <c r="AO6" s="473"/>
      <c r="AP6" s="473"/>
      <c r="AQ6" s="473"/>
      <c r="AR6" s="473"/>
      <c r="AS6" s="473"/>
      <c r="AT6" s="469" t="s">
        <v>70</v>
      </c>
      <c r="AU6" s="469"/>
      <c r="AV6" s="462" t="s">
        <v>105</v>
      </c>
      <c r="AW6" s="463"/>
      <c r="AX6" s="462" t="s">
        <v>132</v>
      </c>
      <c r="AY6" s="464"/>
      <c r="AZ6" s="464"/>
      <c r="BA6" s="465"/>
      <c r="BB6" s="211" t="s">
        <v>133</v>
      </c>
      <c r="BC6" s="219" t="s">
        <v>134</v>
      </c>
      <c r="BD6" s="219"/>
      <c r="BE6" s="219"/>
    </row>
    <row r="7" spans="1:58" s="290" customFormat="1" ht="39" customHeight="1" x14ac:dyDescent="0.25">
      <c r="A7" s="279" t="s">
        <v>135</v>
      </c>
      <c r="B7" s="274" t="s">
        <v>80</v>
      </c>
      <c r="C7" s="281"/>
      <c r="D7" s="281"/>
      <c r="E7" s="241" t="s">
        <v>136</v>
      </c>
      <c r="F7" s="478"/>
      <c r="G7" s="477"/>
      <c r="H7" s="275" t="s">
        <v>137</v>
      </c>
      <c r="I7" s="276" t="s">
        <v>138</v>
      </c>
      <c r="J7" s="282" t="s">
        <v>139</v>
      </c>
      <c r="K7" s="277" t="s">
        <v>140</v>
      </c>
      <c r="L7" s="281" t="s">
        <v>141</v>
      </c>
      <c r="M7" s="275" t="s">
        <v>142</v>
      </c>
      <c r="N7" s="276" t="s">
        <v>143</v>
      </c>
      <c r="O7" s="282" t="s">
        <v>144</v>
      </c>
      <c r="P7" s="277" t="s">
        <v>145</v>
      </c>
      <c r="Q7" s="281" t="s">
        <v>146</v>
      </c>
      <c r="R7" s="281" t="s">
        <v>147</v>
      </c>
      <c r="S7" s="281" t="s">
        <v>148</v>
      </c>
      <c r="T7" s="211" t="s">
        <v>149</v>
      </c>
      <c r="U7" s="211" t="s">
        <v>150</v>
      </c>
      <c r="V7" s="275" t="s">
        <v>151</v>
      </c>
      <c r="W7" s="278" t="s">
        <v>152</v>
      </c>
      <c r="X7" s="278" t="s">
        <v>153</v>
      </c>
      <c r="Y7" s="283" t="s">
        <v>154</v>
      </c>
      <c r="Z7" s="284" t="s">
        <v>155</v>
      </c>
      <c r="AA7" s="285" t="s">
        <v>134</v>
      </c>
      <c r="AB7" s="286" t="s">
        <v>49</v>
      </c>
      <c r="AC7" s="286" t="s">
        <v>59</v>
      </c>
      <c r="AD7" s="286" t="s">
        <v>57</v>
      </c>
      <c r="AE7" s="286" t="s">
        <v>55</v>
      </c>
      <c r="AF7" s="286" t="s">
        <v>156</v>
      </c>
      <c r="AG7" s="286" t="s">
        <v>157</v>
      </c>
      <c r="AH7" s="286" t="s">
        <v>61</v>
      </c>
      <c r="AI7" s="286" t="s">
        <v>65</v>
      </c>
      <c r="AJ7" s="286" t="s">
        <v>74</v>
      </c>
      <c r="AK7" s="286" t="s">
        <v>76</v>
      </c>
      <c r="AL7" s="286" t="s">
        <v>158</v>
      </c>
      <c r="AM7" s="286" t="s">
        <v>78</v>
      </c>
      <c r="AN7" s="287" t="s">
        <v>159</v>
      </c>
      <c r="AO7" s="286" t="s">
        <v>160</v>
      </c>
      <c r="AP7" s="286" t="s">
        <v>81</v>
      </c>
      <c r="AQ7" s="286" t="s">
        <v>161</v>
      </c>
      <c r="AR7" s="286" t="s">
        <v>162</v>
      </c>
      <c r="AS7" s="286" t="s">
        <v>39</v>
      </c>
      <c r="AT7" s="288" t="s">
        <v>163</v>
      </c>
      <c r="AU7" s="288" t="s">
        <v>164</v>
      </c>
      <c r="AV7" s="279" t="s">
        <v>165</v>
      </c>
      <c r="AW7" s="280" t="s">
        <v>166</v>
      </c>
      <c r="AX7" s="279" t="s">
        <v>38</v>
      </c>
      <c r="AY7" s="241" t="s">
        <v>39</v>
      </c>
      <c r="AZ7" s="241" t="s">
        <v>81</v>
      </c>
      <c r="BA7" s="280" t="s">
        <v>167</v>
      </c>
      <c r="BB7" s="280" t="s">
        <v>167</v>
      </c>
      <c r="BC7" s="289" t="s">
        <v>165</v>
      </c>
      <c r="BD7" s="289" t="s">
        <v>168</v>
      </c>
      <c r="BE7" s="289" t="s">
        <v>169</v>
      </c>
      <c r="BF7" s="290" t="s">
        <v>170</v>
      </c>
    </row>
    <row r="8" spans="1:58" x14ac:dyDescent="0.3">
      <c r="A8" s="218">
        <f t="shared" ref="A8:A38" si="0">WEEKNUM(B8)</f>
        <v>1</v>
      </c>
      <c r="B8" s="47">
        <f>Jahr</f>
        <v>42004</v>
      </c>
      <c r="C8" s="219">
        <f t="shared" ref="C8:C38" si="1">NETWORKDAYS(B8,B8,Feiertage)</f>
        <v>0</v>
      </c>
      <c r="D8" s="220" t="str">
        <f t="shared" ref="D8:D38" si="2">IF(ISERROR(VLOOKUP(B8,Feiertage_ganz,4,FALSE)),"",(VLOOKUP(B8,Feiertage_ganz,4,FALSE)))</f>
        <v>Neujahr</v>
      </c>
      <c r="E8" s="298" t="str">
        <f t="shared" ref="E8:E38" si="3">D8</f>
        <v>Neujahr</v>
      </c>
      <c r="F8" s="87">
        <f t="shared" ref="F8:F38" si="4">B8</f>
        <v>42004</v>
      </c>
      <c r="G8" s="147"/>
      <c r="H8" s="214"/>
      <c r="I8" s="75"/>
      <c r="J8" s="221">
        <f t="shared" ref="J8:J38" si="5">I8-H8</f>
        <v>0</v>
      </c>
      <c r="K8" s="76"/>
      <c r="L8" s="221">
        <f>IF(J8-K8&gt;Pause_9,Pause_9p,IF(J8-K8&gt;Pause_6,Pause_6p,0))</f>
        <v>0</v>
      </c>
      <c r="M8" s="74"/>
      <c r="N8" s="75"/>
      <c r="O8" s="221">
        <f t="shared" ref="O8:O38" si="6">N8-M8</f>
        <v>0</v>
      </c>
      <c r="P8" s="76"/>
      <c r="Q8" s="221">
        <f>IF(O8-P8&gt;Pause_9,Pause_9p,IF(O8-P8&gt;Pause_6,Pause_6p,0))</f>
        <v>0</v>
      </c>
      <c r="R8" s="221">
        <f>IF(J8+O8-K8-P8&gt;Pause_9,Pause_9p,IF(J8+O8-K8-P8&gt;Pause_6,Pause_6p,0))</f>
        <v>0</v>
      </c>
      <c r="S8" s="221">
        <f t="shared" ref="S8:S38" si="7">IF(M8&gt;I8,IF(M8-I8+K8+P8&gt;=R8,K8+P8,R8),IF(K8+P8&gt;=R8,K8+P8,R8))</f>
        <v>0</v>
      </c>
      <c r="T8" s="79">
        <f t="shared" ref="T8:T38" si="8">IF(I8&lt;=M8,I8-H8+N8-M8,IF(I8&lt;=N8,N8-H8,I8-H8))</f>
        <v>0</v>
      </c>
      <c r="U8" s="79">
        <f>ROUND(T8-S8,10)</f>
        <v>0</v>
      </c>
      <c r="V8" s="80">
        <f t="shared" ref="V8:V38" si="9">ROUND(IF(AND(D8&lt;&gt;"",G8=""),IF(ISERROR(VLOOKUP(B8,Feiertage,3,FALSE)),0,Z8),IF(B8="",0,IF(G8&lt;&gt;"",IF(UPPER(G8)=VLOOKUP(UPPER(G8),Code,1,FALSE),VLOOKUP(G8,Code,2,FALSE)*Z8,Z8),Z8))),10)</f>
        <v>0</v>
      </c>
      <c r="W8" s="249" t="str">
        <f t="shared" ref="W8:W38" si="10">IF(OR(AND(VLOOKUP(UPPER(G8),Code,3,FALSE)=2,U8&gt;V8),AND(I8&lt;&gt;0,B8&lt;&gt;"",G8=""),VLOOKUP(UPPER(G8),Code,3,FALSE)=1),U8-V8,"")</f>
        <v/>
      </c>
      <c r="X8" s="292"/>
      <c r="Y8" s="221">
        <f t="shared" ref="Y8:Y38" si="11">IF(G8&lt;&gt;"",IF(VLOOKUP(G8,Code,2,FALSE)=2,U8,IF(AND(VLOOKUP(G8,Code,2,FALSE)=1,U8&gt;Z8),U8,0)),0)</f>
        <v>0</v>
      </c>
      <c r="Z8" s="299">
        <f ca="1">IF(B8="","",INDIRECT(ADDRESS(MATCH(B8,Soll_AZ,1)+MATCH("Arbeitszeit 1 ab",Voreinstellung_Übersicht!B:B,0)-1,WEEKDAY(B8,2)+4,,,"Voreinstellung_Übersicht"),TRUE))</f>
        <v>0.33333333333333331</v>
      </c>
      <c r="AA8" s="300">
        <f>IF(W8="",Übertrag_Mehrarbeit,Übertrag_Mehrarbeit+W8)</f>
        <v>0</v>
      </c>
      <c r="AB8" s="219">
        <f t="shared" ref="AB8:AB38" si="12">IF(AND($G8&lt;&gt;0,IF(ISERROR(VLOOKUP($G8,Code,1,FALSE)),FALSE,VLOOKUP($G8,Code,1,FALSE)="U"),$C8=1),1,0)</f>
        <v>0</v>
      </c>
      <c r="AC8" s="219">
        <f t="shared" ref="AC8:AC38" si="13">IF(AND($G8&lt;&gt;0,IF(ISERROR(VLOOKUP($G8,Code,1,FALSE)),FALSE,VLOOKUP($G8,Code,1,FALSE))="WB"),1,0)</f>
        <v>0</v>
      </c>
      <c r="AD8" s="219">
        <f t="shared" ref="AD8:AD38" si="14">IF(AND($G8&lt;&gt;0,IF(ISERROR(VLOOKUP($G8,Code,1,FALSE)),FALSE,VLOOKUP($G8,Code,1,FALSE))="DR",$C8=1),1,0)</f>
        <v>0</v>
      </c>
      <c r="AE8" s="219">
        <f t="shared" ref="AE8:AE38" si="15">IF(AND($G8&lt;&gt;0,IF(ISERROR(VLOOKUP($G8,Code,1,FALSE)),FALSE,VLOOKUP($G8,Code,1,FALSE))="KK",$C8=1),1,0)</f>
        <v>0</v>
      </c>
      <c r="AF8" s="219">
        <f t="shared" ref="AF8:AF38" si="16">IF(AND($G8&lt;&gt;0,IF(ISERROR(VLOOKUP($G8,Code,1,FALSE)),FALSE,VLOOKUP($G8,Code,1,FALSE))="K",$C8=1),1,0)</f>
        <v>0</v>
      </c>
      <c r="AG8" s="219">
        <f t="shared" ref="AG8:AG38" si="17">IF(AND($G8&lt;&gt;0,IF(ISERROR(VLOOKUP($G8,Code,1,FALSE)),FALSE,VLOOKUP($G8,Code,1,FALSE))="KZT"),1,0)</f>
        <v>0</v>
      </c>
      <c r="AH8" s="219">
        <f t="shared" ref="AH8:AH38" si="18">IF(AND($G8&lt;&gt;0,IF(ISERROR(VLOOKUP($G8,Code,1,FALSE)),FALSE,VLOOKUP($G8,Code,1,FALSE))="mEG",$C8=1),1,0)</f>
        <v>0</v>
      </c>
      <c r="AI8" s="219">
        <f t="shared" ref="AI8:AI38" si="19">IF(AND($G8&lt;&gt;0,IF(ISERROR(VLOOKUP($G8,Code,1,FALSE)),FALSE,VLOOKUP($G8,Code,1,FALSE))="Ku"),1,0)</f>
        <v>0</v>
      </c>
      <c r="AJ8" s="219">
        <f t="shared" ref="AJ8:AJ38" si="20">IF(AND($G8&lt;&gt;0,IF(ISERROR(VLOOKUP($G8,Code,1,FALSE)),FALSE,VLOOKUP($G8,Code,1,FALSE))="§29(1)",$C8=1),1,0)</f>
        <v>0</v>
      </c>
      <c r="AK8" s="219">
        <f t="shared" ref="AK8:AK38" si="21">IF(AND($G8&lt;&gt;0,IF(ISERROR(VLOOKUP($G8,Code,1,FALSE)),FALSE,VLOOKUP($G8,Code,1,FALSE))="§29(2)",$C8=1),1,0)</f>
        <v>0</v>
      </c>
      <c r="AL8" s="219">
        <f t="shared" ref="AL8:AL38" si="22">IF(AND($G8&lt;&gt;0,IF(ISERROR(VLOOKUP($G8,Code,1,FALSE)),FALSE,VLOOKUP($G8,Code,1,FALSE))="§29(3)",$C8=1),1,0)</f>
        <v>0</v>
      </c>
      <c r="AM8" s="219">
        <f t="shared" ref="AM8:AM38" si="23">IF(AND($G8&lt;&gt;0,IF(ISERROR(VLOOKUP($G8,Code,1,FALSE)),FALSE,VLOOKUP($G8,Code,1,FALSE))="§29(4)",$C8=1),1,0)</f>
        <v>0</v>
      </c>
      <c r="AN8" s="301">
        <f t="shared" ref="AN8:AN38" si="24">IF(OR(AND(H8&lt;Nacht_6,I8-K8&lt;=Nacht_6),AND(I8&gt;Nacht_22,H8+K8&gt;=Nacht_22)),I8-H8-K8,IF(H8&lt;Nacht_6,IF(I8&gt;Nacht_22,Nacht_6-H8+I8-Nacht_22,Nacht_6-H8),IF(I8&gt;Nacht_22,I8-Nacht_22,0)))</f>
        <v>0</v>
      </c>
      <c r="AO8" s="301">
        <f t="shared" ref="AO8:AO38" si="25">IF(OR(AND(M8&lt;Nacht_6,N8-P8&lt;=Nacht_6),AND(N8&gt;Nacht_22,M8+P8&gt;=Nacht_22)),N8-M8-P8,IF(M8&lt;Nacht_6,IF(N8&gt;Nacht_22,Nacht_6-M8+N8-Nacht_22,Nacht_6-M8),IF(N8&gt;Nacht_22,N8-Nacht_22,0)))</f>
        <v>0</v>
      </c>
      <c r="AP8" s="301">
        <f t="shared" ref="AP8:AP38" si="26">IF(ISERROR(VLOOKUP(B8,Feiertage_ganz,3,FALSE)),0,IF(VLOOKUP(B8,Feiertage_ganz,3,FALSE)=1,U8,0))</f>
        <v>0</v>
      </c>
      <c r="AQ8" s="301">
        <f t="shared" ref="AQ8:AQ38" si="27">IF(OR(I8&lt;=Samstagszuschlag,H8&gt;=Nacht_22),0,IF(H8&lt;=Samstagszuschlag,IF(I8&lt;=Nacht_22,I8-Samstagszuschlag,Nacht_22-Samstagszuschlag),IF(I8&lt;=Nacht_22,I8-H8,Nacht_22-H8)))</f>
        <v>0</v>
      </c>
      <c r="AR8" s="301">
        <f t="shared" ref="AR8:AR38" si="28">IF(OR(N8&lt;=Samstagszuschlag,M8&lt;=Nacht_22),0,IF(M8&lt;=Samstagszuschlag,IF(N8&lt;=Nacht_22,N8-Samstagszuschlag,Nacht_22-Samstagszuschlag),IF(N8&lt;=Nacht_22,N8-M8,Nacht_22-M8)))</f>
        <v>0</v>
      </c>
      <c r="AS8" s="301">
        <f t="shared" ref="AS8:AS38" si="29">IF(WEEKDAY(B8,2)=7,U8,0)</f>
        <v>0</v>
      </c>
      <c r="AT8" s="302">
        <f t="shared" ref="AT8:AT38" si="30">IF(ISERROR(VLOOKUP(G8,Code_Liste,1,FALSE)),0,I8-H8)</f>
        <v>0</v>
      </c>
      <c r="AU8" s="302">
        <f t="shared" ref="AU8:AU38" si="31">IF(ISERROR(VLOOKUP(G8,Code_Liste,1,FALSE)),0,N8-M8)</f>
        <v>0</v>
      </c>
      <c r="AV8" s="81">
        <f t="shared" ref="AV8:AV38" si="32">SUM(AN8:AO8)</f>
        <v>0</v>
      </c>
      <c r="AW8" s="82">
        <f t="shared" ref="AW8:AW38" si="33">AV8*Zuschlag_Nacht/100</f>
        <v>0</v>
      </c>
      <c r="AX8" s="81">
        <f t="shared" ref="AX8:AX38" si="34">IF(WEEKDAY(B8,2)=6,AQ8+AR8,0)</f>
        <v>0</v>
      </c>
      <c r="AY8" s="83">
        <f t="shared" ref="AY8:AY38" si="35">AS8</f>
        <v>0</v>
      </c>
      <c r="AZ8" s="83">
        <f t="shared" ref="AZ8:AZ38" si="36">AP8</f>
        <v>0</v>
      </c>
      <c r="BA8" s="82">
        <f>IF(OR(B8=Feiertage!$A$16,B8=Feiertage!$A$19),U8*Zuschläge_24_31/100,IF(AZ8&gt;0,AZ8*Feiertag_mit/100,IF(AX8&gt;0,AX8*Zuschläge_Sa/100,IF(AY8&gt;0,AY8*Zuschlag_So/100,0))))</f>
        <v>0</v>
      </c>
      <c r="BB8" s="82">
        <f>IF(AND(B8&lt;&gt;0,G8=Voreinstellung_Übersicht!$D$41),IF(EG=1,W8*Über_klein/100,IF(EG=2,W8*Über_groß/100,"Fehler")),0)</f>
        <v>0</v>
      </c>
      <c r="BC8" s="299">
        <f>IF(W8="",Übertrag_Mehrarbeit,Übertrag_Mehrarbeit+W8)</f>
        <v>0</v>
      </c>
      <c r="BD8" s="219">
        <f t="shared" ref="BD8:BD38" ca="1" si="37">IF(OR(AND(BC8&gt;=0,BC8&lt;=(grün_plus*BE8/100%)),AND(BC8&lt;=0,BC8&gt;=(grün_minus*BE8/100%))),1,IF(OR(AND(BC8&gt;0,BC8&lt;=(gelb_plus*BE8/100%)),AND(BC8&lt;0,BC8&gt;=(gelb_minus*BE8/100%))),2,3))</f>
        <v>1</v>
      </c>
      <c r="BE8" s="303">
        <f ca="1">IF(B8="","",INDIRECT(ADDRESS(MATCH(B8,Soll_AZ,1)+MATCH("Arbeitszeit 1 ab",Voreinstellung_Übersicht!B:B,0)-1,4,,,"Voreinstellung_Übersicht"),TRUE))</f>
        <v>1.6666666666666665</v>
      </c>
      <c r="BF8" s="1">
        <f>IF(OR(G8="WB",G8="DR",U8&gt;0),1,0)</f>
        <v>0</v>
      </c>
    </row>
    <row r="9" spans="1:58" x14ac:dyDescent="0.3">
      <c r="A9" s="218">
        <f t="shared" si="0"/>
        <v>1</v>
      </c>
      <c r="B9" s="47">
        <f t="shared" ref="B9:B38" si="38">B8+1</f>
        <v>42005</v>
      </c>
      <c r="C9" s="219">
        <f t="shared" si="1"/>
        <v>1</v>
      </c>
      <c r="D9" s="220" t="str">
        <f t="shared" si="2"/>
        <v/>
      </c>
      <c r="E9" s="298" t="str">
        <f t="shared" si="3"/>
        <v/>
      </c>
      <c r="F9" s="87">
        <f t="shared" si="4"/>
        <v>42005</v>
      </c>
      <c r="G9" s="147"/>
      <c r="H9" s="74"/>
      <c r="I9" s="75"/>
      <c r="J9" s="221">
        <f t="shared" si="5"/>
        <v>0</v>
      </c>
      <c r="K9" s="76"/>
      <c r="L9" s="221">
        <f>IF(J9-K9&gt;Pause_9,Pause_9p,IF(J9-K9&gt;Pause_6,Pause_6p,0))</f>
        <v>0</v>
      </c>
      <c r="M9" s="74"/>
      <c r="N9" s="75"/>
      <c r="O9" s="221">
        <f t="shared" si="6"/>
        <v>0</v>
      </c>
      <c r="P9" s="76"/>
      <c r="Q9" s="221">
        <f>IF(O9-P9&gt;Pause_9,Pause_9p,IF(O9-P9&gt;Pause_6,Pause_6p,0))</f>
        <v>0</v>
      </c>
      <c r="R9" s="221">
        <f>IF(J9+O9-K9-P9&gt;Pause_9,Pause_9p,IF(J9+O9-K9-P9&gt;Pause_6,Pause_6p,0))</f>
        <v>0</v>
      </c>
      <c r="S9" s="221">
        <f t="shared" si="7"/>
        <v>0</v>
      </c>
      <c r="T9" s="79">
        <f t="shared" si="8"/>
        <v>0</v>
      </c>
      <c r="U9" s="79">
        <f t="shared" ref="U9:U38" si="39">ROUND(T9-S9,10)</f>
        <v>0</v>
      </c>
      <c r="V9" s="80">
        <f t="shared" ca="1" si="9"/>
        <v>0.33333333329999998</v>
      </c>
      <c r="W9" s="249" t="str">
        <f t="shared" ca="1" si="10"/>
        <v/>
      </c>
      <c r="X9" s="293"/>
      <c r="Y9" s="221">
        <f t="shared" si="11"/>
        <v>0</v>
      </c>
      <c r="Z9" s="299">
        <f ca="1">IF(B9="","",INDIRECT(ADDRESS(MATCH(B9,Soll_AZ,1)+MATCH("Arbeitszeit 1 ab",Voreinstellung_Übersicht!B:B,0)-1,WEEKDAY(B9,2)+4,,,"Voreinstellung_Übersicht"),TRUE))</f>
        <v>0.33333333333333331</v>
      </c>
      <c r="AA9" s="300">
        <f t="shared" ref="AA9:AA38" ca="1" si="40">IF(W9="",AA8,AA8+W9)</f>
        <v>0</v>
      </c>
      <c r="AB9" s="219">
        <f t="shared" si="12"/>
        <v>0</v>
      </c>
      <c r="AC9" s="219">
        <f t="shared" si="13"/>
        <v>0</v>
      </c>
      <c r="AD9" s="219">
        <f t="shared" si="14"/>
        <v>0</v>
      </c>
      <c r="AE9" s="219">
        <f t="shared" si="15"/>
        <v>0</v>
      </c>
      <c r="AF9" s="219">
        <f t="shared" si="16"/>
        <v>0</v>
      </c>
      <c r="AG9" s="219">
        <f t="shared" si="17"/>
        <v>0</v>
      </c>
      <c r="AH9" s="219">
        <f t="shared" si="18"/>
        <v>0</v>
      </c>
      <c r="AI9" s="219">
        <f t="shared" si="19"/>
        <v>0</v>
      </c>
      <c r="AJ9" s="219">
        <f t="shared" si="20"/>
        <v>0</v>
      </c>
      <c r="AK9" s="219">
        <f t="shared" si="21"/>
        <v>0</v>
      </c>
      <c r="AL9" s="219">
        <f t="shared" si="22"/>
        <v>0</v>
      </c>
      <c r="AM9" s="219">
        <f t="shared" si="23"/>
        <v>0</v>
      </c>
      <c r="AN9" s="301">
        <f t="shared" si="24"/>
        <v>0</v>
      </c>
      <c r="AO9" s="301">
        <f t="shared" si="25"/>
        <v>0</v>
      </c>
      <c r="AP9" s="301">
        <f t="shared" si="26"/>
        <v>0</v>
      </c>
      <c r="AQ9" s="301">
        <f t="shared" si="27"/>
        <v>0</v>
      </c>
      <c r="AR9" s="301">
        <f t="shared" si="28"/>
        <v>0</v>
      </c>
      <c r="AS9" s="301">
        <f t="shared" si="29"/>
        <v>0</v>
      </c>
      <c r="AT9" s="302">
        <f t="shared" si="30"/>
        <v>0</v>
      </c>
      <c r="AU9" s="302">
        <f t="shared" si="31"/>
        <v>0</v>
      </c>
      <c r="AV9" s="81">
        <f t="shared" si="32"/>
        <v>0</v>
      </c>
      <c r="AW9" s="82">
        <f t="shared" si="33"/>
        <v>0</v>
      </c>
      <c r="AX9" s="81">
        <f t="shared" si="34"/>
        <v>0</v>
      </c>
      <c r="AY9" s="83">
        <f t="shared" si="35"/>
        <v>0</v>
      </c>
      <c r="AZ9" s="83">
        <f t="shared" si="36"/>
        <v>0</v>
      </c>
      <c r="BA9" s="82">
        <f>IF(OR(B9=Feiertage!$A$16,B9=Feiertage!$A$19),U9*Zuschläge_24_31/100,IF(AZ9&gt;0,AZ9*Feiertag_mit/100,IF(AX9&gt;0,AX9*Zuschläge_Sa/100,IF(AY9&gt;0,AY9*Zuschlag_So/100,0))))</f>
        <v>0</v>
      </c>
      <c r="BB9" s="82">
        <f>IF(AND(B9&lt;&gt;0,G9=Voreinstellung_Übersicht!$D$41),IF(EG=1,W9*Über_klein/100,IF(EG=2,W9*Über_groß/100,"Fehler")),0)</f>
        <v>0</v>
      </c>
      <c r="BC9" s="299">
        <f t="shared" ref="BC9:BC38" ca="1" si="41">IF(W9="",BC8,BC8+W9)</f>
        <v>0</v>
      </c>
      <c r="BD9" s="219">
        <f t="shared" ca="1" si="37"/>
        <v>1</v>
      </c>
      <c r="BE9" s="303">
        <f ca="1">IF(B9="","",INDIRECT(ADDRESS(MATCH(B9,Soll_AZ,1)+MATCH("Arbeitszeit 1 ab",Voreinstellung_Übersicht!B:B,0)-1,4,,,"Voreinstellung_Übersicht"),TRUE))</f>
        <v>1.6666666666666665</v>
      </c>
      <c r="BF9" s="1">
        <f t="shared" ref="BF9:BF38" si="42">IF(OR(G9="WB",G9="DR",U9&gt;0),1,0)</f>
        <v>0</v>
      </c>
    </row>
    <row r="10" spans="1:58" x14ac:dyDescent="0.3">
      <c r="A10" s="218">
        <f t="shared" si="0"/>
        <v>1</v>
      </c>
      <c r="B10" s="47">
        <f t="shared" si="38"/>
        <v>42006</v>
      </c>
      <c r="C10" s="219">
        <f t="shared" si="1"/>
        <v>1</v>
      </c>
      <c r="D10" s="220" t="str">
        <f t="shared" si="2"/>
        <v/>
      </c>
      <c r="E10" s="298" t="str">
        <f t="shared" si="3"/>
        <v/>
      </c>
      <c r="F10" s="87">
        <f t="shared" si="4"/>
        <v>42006</v>
      </c>
      <c r="G10" s="147"/>
      <c r="H10" s="74"/>
      <c r="I10" s="75"/>
      <c r="J10" s="221">
        <f t="shared" si="5"/>
        <v>0</v>
      </c>
      <c r="K10" s="76"/>
      <c r="L10" s="221">
        <f>IF(J10-K10&gt;=Pause_9,Pause_9p,IF(J10-K10&gt;=Pause_6,Pause_6p,0))</f>
        <v>0</v>
      </c>
      <c r="M10" s="74"/>
      <c r="N10" s="75"/>
      <c r="O10" s="221">
        <f t="shared" si="6"/>
        <v>0</v>
      </c>
      <c r="P10" s="76"/>
      <c r="Q10" s="221">
        <f>IF(O10-P10&gt;Pause_9,Pause_9p,IF(O10-P10&gt;Pause_6,Pause_6p,0))</f>
        <v>0</v>
      </c>
      <c r="R10" s="221">
        <f>IF(J10+O10-K10-P10&gt;Pause_9,Pause_9p,IF(J10+O10-K10-P10&gt;Pause_6,Pause_6p,0))</f>
        <v>0</v>
      </c>
      <c r="S10" s="221">
        <f t="shared" si="7"/>
        <v>0</v>
      </c>
      <c r="T10" s="79">
        <f t="shared" si="8"/>
        <v>0</v>
      </c>
      <c r="U10" s="79">
        <f t="shared" si="39"/>
        <v>0</v>
      </c>
      <c r="V10" s="80">
        <f t="shared" ca="1" si="9"/>
        <v>0.33333333329999998</v>
      </c>
      <c r="W10" s="249" t="str">
        <f t="shared" ca="1" si="10"/>
        <v/>
      </c>
      <c r="X10" s="293"/>
      <c r="Y10" s="221">
        <f t="shared" si="11"/>
        <v>0</v>
      </c>
      <c r="Z10" s="299">
        <f ca="1">IF(B10="","",INDIRECT(ADDRESS(MATCH(B10,Soll_AZ,1)+MATCH("Arbeitszeit 1 ab",Voreinstellung_Übersicht!B:B,0)-1,WEEKDAY(B10,2)+4,,,"Voreinstellung_Übersicht"),TRUE))</f>
        <v>0.33333333333333331</v>
      </c>
      <c r="AA10" s="300">
        <f t="shared" ca="1" si="40"/>
        <v>0</v>
      </c>
      <c r="AB10" s="219">
        <f t="shared" si="12"/>
        <v>0</v>
      </c>
      <c r="AC10" s="219">
        <f t="shared" si="13"/>
        <v>0</v>
      </c>
      <c r="AD10" s="219">
        <f t="shared" si="14"/>
        <v>0</v>
      </c>
      <c r="AE10" s="219">
        <f t="shared" si="15"/>
        <v>0</v>
      </c>
      <c r="AF10" s="219">
        <f t="shared" si="16"/>
        <v>0</v>
      </c>
      <c r="AG10" s="219">
        <f t="shared" si="17"/>
        <v>0</v>
      </c>
      <c r="AH10" s="219">
        <f t="shared" si="18"/>
        <v>0</v>
      </c>
      <c r="AI10" s="219">
        <f t="shared" si="19"/>
        <v>0</v>
      </c>
      <c r="AJ10" s="219">
        <f t="shared" si="20"/>
        <v>0</v>
      </c>
      <c r="AK10" s="219">
        <f t="shared" si="21"/>
        <v>0</v>
      </c>
      <c r="AL10" s="219">
        <f t="shared" si="22"/>
        <v>0</v>
      </c>
      <c r="AM10" s="219">
        <f t="shared" si="23"/>
        <v>0</v>
      </c>
      <c r="AN10" s="301">
        <f t="shared" si="24"/>
        <v>0</v>
      </c>
      <c r="AO10" s="301">
        <f t="shared" si="25"/>
        <v>0</v>
      </c>
      <c r="AP10" s="301">
        <f t="shared" si="26"/>
        <v>0</v>
      </c>
      <c r="AQ10" s="301">
        <f t="shared" si="27"/>
        <v>0</v>
      </c>
      <c r="AR10" s="301">
        <f t="shared" si="28"/>
        <v>0</v>
      </c>
      <c r="AS10" s="301">
        <f t="shared" si="29"/>
        <v>0</v>
      </c>
      <c r="AT10" s="302">
        <f t="shared" si="30"/>
        <v>0</v>
      </c>
      <c r="AU10" s="302">
        <f t="shared" si="31"/>
        <v>0</v>
      </c>
      <c r="AV10" s="81">
        <f t="shared" si="32"/>
        <v>0</v>
      </c>
      <c r="AW10" s="82">
        <f t="shared" si="33"/>
        <v>0</v>
      </c>
      <c r="AX10" s="81">
        <f t="shared" si="34"/>
        <v>0</v>
      </c>
      <c r="AY10" s="83">
        <f t="shared" si="35"/>
        <v>0</v>
      </c>
      <c r="AZ10" s="83">
        <f t="shared" si="36"/>
        <v>0</v>
      </c>
      <c r="BA10" s="82">
        <f>IF(OR(B10=Feiertage!$A$16,B10=Feiertage!$A$19),U10*Zuschläge_24_31/100,IF(AZ10&gt;0,AZ10*Feiertag_mit/100,IF(AX10&gt;0,AX10*Zuschläge_Sa/100,IF(AY10&gt;0,AY10*Zuschlag_So/100,0))))</f>
        <v>0</v>
      </c>
      <c r="BB10" s="82">
        <f>IF(AND(B10&lt;&gt;0,G10=Voreinstellung_Übersicht!$D$41),IF(EG=1,W10*Über_klein/100,IF(EG=2,W10*Über_groß/100,"Fehler")),0)</f>
        <v>0</v>
      </c>
      <c r="BC10" s="299">
        <f t="shared" ca="1" si="41"/>
        <v>0</v>
      </c>
      <c r="BD10" s="219">
        <f t="shared" ca="1" si="37"/>
        <v>1</v>
      </c>
      <c r="BE10" s="303">
        <f ca="1">IF(B10="","",INDIRECT(ADDRESS(MATCH(B10,Soll_AZ,1)+MATCH("Arbeitszeit 1 ab",Voreinstellung_Übersicht!B:B,0)-1,4,,,"Voreinstellung_Übersicht"),TRUE))</f>
        <v>1.6666666666666665</v>
      </c>
      <c r="BF10" s="1">
        <f t="shared" si="42"/>
        <v>0</v>
      </c>
    </row>
    <row r="11" spans="1:58" x14ac:dyDescent="0.3">
      <c r="A11" s="218">
        <f t="shared" si="0"/>
        <v>1</v>
      </c>
      <c r="B11" s="47">
        <f t="shared" si="38"/>
        <v>42007</v>
      </c>
      <c r="C11" s="219">
        <f t="shared" si="1"/>
        <v>1</v>
      </c>
      <c r="D11" s="220" t="str">
        <f t="shared" si="2"/>
        <v/>
      </c>
      <c r="E11" s="298" t="str">
        <f t="shared" si="3"/>
        <v/>
      </c>
      <c r="F11" s="87">
        <f t="shared" si="4"/>
        <v>42007</v>
      </c>
      <c r="G11" s="147"/>
      <c r="H11" s="74"/>
      <c r="I11" s="75"/>
      <c r="J11" s="221">
        <f t="shared" si="5"/>
        <v>0</v>
      </c>
      <c r="K11" s="76"/>
      <c r="L11" s="221">
        <f>IF(J11-K11&gt;=Pause_9,Pause_9p,IF(J11-K11&gt;=Pause_6,Pause_6p,0))</f>
        <v>0</v>
      </c>
      <c r="M11" s="74"/>
      <c r="N11" s="75"/>
      <c r="O11" s="221">
        <f t="shared" si="6"/>
        <v>0</v>
      </c>
      <c r="P11" s="76"/>
      <c r="Q11" s="221">
        <f>IF(O11-P11&gt;Pause_9,Pause_9p,IF(O11-P11&gt;Pause_6,Pause_6p,0))</f>
        <v>0</v>
      </c>
      <c r="R11" s="221">
        <f>IF(J11+O11-K11-P11&gt;Pause_9,Pause_9p,IF(J11+O11-K11-P11&gt;Pause_6,Pause_6p,0))</f>
        <v>0</v>
      </c>
      <c r="S11" s="221">
        <f t="shared" si="7"/>
        <v>0</v>
      </c>
      <c r="T11" s="79">
        <f t="shared" si="8"/>
        <v>0</v>
      </c>
      <c r="U11" s="79">
        <f t="shared" si="39"/>
        <v>0</v>
      </c>
      <c r="V11" s="80">
        <f t="shared" ca="1" si="9"/>
        <v>0.33333333329999998</v>
      </c>
      <c r="W11" s="249" t="str">
        <f t="shared" ca="1" si="10"/>
        <v/>
      </c>
      <c r="X11" s="293"/>
      <c r="Y11" s="221">
        <f t="shared" si="11"/>
        <v>0</v>
      </c>
      <c r="Z11" s="299">
        <f ca="1">IF(B11="","",INDIRECT(ADDRESS(MATCH(B11,Soll_AZ,1)+MATCH("Arbeitszeit 1 ab",Voreinstellung_Übersicht!B:B,0)-1,WEEKDAY(B11,2)+4,,,"Voreinstellung_Übersicht"),TRUE))</f>
        <v>0.33333333333333331</v>
      </c>
      <c r="AA11" s="300">
        <f t="shared" ca="1" si="40"/>
        <v>0</v>
      </c>
      <c r="AB11" s="219">
        <f t="shared" si="12"/>
        <v>0</v>
      </c>
      <c r="AC11" s="219">
        <f t="shared" si="13"/>
        <v>0</v>
      </c>
      <c r="AD11" s="219">
        <f t="shared" si="14"/>
        <v>0</v>
      </c>
      <c r="AE11" s="219">
        <f t="shared" si="15"/>
        <v>0</v>
      </c>
      <c r="AF11" s="219">
        <f t="shared" si="16"/>
        <v>0</v>
      </c>
      <c r="AG11" s="219">
        <f t="shared" si="17"/>
        <v>0</v>
      </c>
      <c r="AH11" s="219">
        <f t="shared" si="18"/>
        <v>0</v>
      </c>
      <c r="AI11" s="219">
        <f t="shared" si="19"/>
        <v>0</v>
      </c>
      <c r="AJ11" s="219">
        <f t="shared" si="20"/>
        <v>0</v>
      </c>
      <c r="AK11" s="219">
        <f t="shared" si="21"/>
        <v>0</v>
      </c>
      <c r="AL11" s="219">
        <f t="shared" si="22"/>
        <v>0</v>
      </c>
      <c r="AM11" s="219">
        <f t="shared" si="23"/>
        <v>0</v>
      </c>
      <c r="AN11" s="301">
        <f t="shared" si="24"/>
        <v>0</v>
      </c>
      <c r="AO11" s="301">
        <f t="shared" si="25"/>
        <v>0</v>
      </c>
      <c r="AP11" s="301">
        <f t="shared" si="26"/>
        <v>0</v>
      </c>
      <c r="AQ11" s="301">
        <f t="shared" si="27"/>
        <v>0</v>
      </c>
      <c r="AR11" s="301">
        <f t="shared" si="28"/>
        <v>0</v>
      </c>
      <c r="AS11" s="301">
        <f t="shared" si="29"/>
        <v>0</v>
      </c>
      <c r="AT11" s="302">
        <f t="shared" si="30"/>
        <v>0</v>
      </c>
      <c r="AU11" s="302">
        <f t="shared" si="31"/>
        <v>0</v>
      </c>
      <c r="AV11" s="81">
        <f t="shared" si="32"/>
        <v>0</v>
      </c>
      <c r="AW11" s="82">
        <f t="shared" si="33"/>
        <v>0</v>
      </c>
      <c r="AX11" s="81">
        <f t="shared" si="34"/>
        <v>0</v>
      </c>
      <c r="AY11" s="83">
        <f t="shared" si="35"/>
        <v>0</v>
      </c>
      <c r="AZ11" s="83">
        <f t="shared" si="36"/>
        <v>0</v>
      </c>
      <c r="BA11" s="82">
        <f>IF(OR(B11=Feiertage!$A$16,B11=Feiertage!$A$19),U11*Zuschläge_24_31/100,IF(AZ11&gt;0,AZ11*Feiertag_mit/100,IF(AX11&gt;0,AX11*Zuschläge_Sa/100,IF(AY11&gt;0,AY11*Zuschlag_So/100,0))))</f>
        <v>0</v>
      </c>
      <c r="BB11" s="82">
        <f>IF(AND(B11&lt;&gt;0,G11=Voreinstellung_Übersicht!$D$41),IF(EG=1,W11*Über_klein/100,IF(EG=2,W11*Über_groß/100,"Fehler")),0)</f>
        <v>0</v>
      </c>
      <c r="BC11" s="299">
        <f t="shared" ca="1" si="41"/>
        <v>0</v>
      </c>
      <c r="BD11" s="219">
        <f t="shared" ca="1" si="37"/>
        <v>1</v>
      </c>
      <c r="BE11" s="303">
        <f ca="1">IF(B11="","",INDIRECT(ADDRESS(MATCH(B11,Soll_AZ,1)+MATCH("Arbeitszeit 1 ab",Voreinstellung_Übersicht!B:B,0)-1,4,,,"Voreinstellung_Übersicht"),TRUE))</f>
        <v>1.6666666666666665</v>
      </c>
      <c r="BF11" s="1">
        <f t="shared" si="42"/>
        <v>0</v>
      </c>
    </row>
    <row r="12" spans="1:58" x14ac:dyDescent="0.3">
      <c r="A12" s="218">
        <f t="shared" si="0"/>
        <v>1</v>
      </c>
      <c r="B12" s="47">
        <f t="shared" si="38"/>
        <v>42008</v>
      </c>
      <c r="C12" s="219">
        <f t="shared" si="1"/>
        <v>0</v>
      </c>
      <c r="D12" s="220" t="str">
        <f t="shared" si="2"/>
        <v/>
      </c>
      <c r="E12" s="298" t="str">
        <f t="shared" si="3"/>
        <v/>
      </c>
      <c r="F12" s="87">
        <f t="shared" si="4"/>
        <v>42008</v>
      </c>
      <c r="G12" s="147"/>
      <c r="H12" s="74"/>
      <c r="I12" s="75"/>
      <c r="J12" s="221">
        <f t="shared" si="5"/>
        <v>0</v>
      </c>
      <c r="K12" s="76"/>
      <c r="L12" s="221">
        <f t="shared" ref="L12:L38" si="43">IF(J12&gt;=Pause_9,Pause_9p,IF(J12&gt;=Pause_6,Pause_6p,0))</f>
        <v>0</v>
      </c>
      <c r="M12" s="74"/>
      <c r="N12" s="75"/>
      <c r="O12" s="221">
        <f t="shared" si="6"/>
        <v>0</v>
      </c>
      <c r="P12" s="76"/>
      <c r="Q12" s="221">
        <f t="shared" ref="Q12:Q38" si="44">IF(O12&gt;Pause_9,Pause_9p,IF(O12&gt;=Pause_6,Pause_6p,0))</f>
        <v>0</v>
      </c>
      <c r="R12" s="221">
        <f t="shared" ref="R12:R38" si="45">IF(J12+O12&gt;=Pause_9,Pause_9p,IF(J12+O12&gt;=Pause_6,Pause_6p,0))</f>
        <v>0</v>
      </c>
      <c r="S12" s="221">
        <f t="shared" si="7"/>
        <v>0</v>
      </c>
      <c r="T12" s="79">
        <f t="shared" si="8"/>
        <v>0</v>
      </c>
      <c r="U12" s="79">
        <f t="shared" si="39"/>
        <v>0</v>
      </c>
      <c r="V12" s="80">
        <f t="shared" ca="1" si="9"/>
        <v>0</v>
      </c>
      <c r="W12" s="249" t="str">
        <f t="shared" ca="1" si="10"/>
        <v/>
      </c>
      <c r="X12" s="293"/>
      <c r="Y12" s="221">
        <f t="shared" si="11"/>
        <v>0</v>
      </c>
      <c r="Z12" s="299">
        <f ca="1">IF(B12="","",INDIRECT(ADDRESS(MATCH(B12,Soll_AZ,1)+MATCH("Arbeitszeit 1 ab",Voreinstellung_Übersicht!B:B,0)-1,WEEKDAY(B12,2)+4,,,"Voreinstellung_Übersicht"),TRUE))</f>
        <v>0</v>
      </c>
      <c r="AA12" s="300">
        <f t="shared" ca="1" si="40"/>
        <v>0</v>
      </c>
      <c r="AB12" s="219">
        <f t="shared" si="12"/>
        <v>0</v>
      </c>
      <c r="AC12" s="219">
        <f t="shared" si="13"/>
        <v>0</v>
      </c>
      <c r="AD12" s="219">
        <f t="shared" si="14"/>
        <v>0</v>
      </c>
      <c r="AE12" s="219">
        <f t="shared" si="15"/>
        <v>0</v>
      </c>
      <c r="AF12" s="219">
        <f t="shared" si="16"/>
        <v>0</v>
      </c>
      <c r="AG12" s="219">
        <f t="shared" si="17"/>
        <v>0</v>
      </c>
      <c r="AH12" s="219">
        <f t="shared" si="18"/>
        <v>0</v>
      </c>
      <c r="AI12" s="219">
        <f t="shared" si="19"/>
        <v>0</v>
      </c>
      <c r="AJ12" s="219">
        <f t="shared" si="20"/>
        <v>0</v>
      </c>
      <c r="AK12" s="219">
        <f t="shared" si="21"/>
        <v>0</v>
      </c>
      <c r="AL12" s="219">
        <f t="shared" si="22"/>
        <v>0</v>
      </c>
      <c r="AM12" s="219">
        <f t="shared" si="23"/>
        <v>0</v>
      </c>
      <c r="AN12" s="301">
        <f t="shared" si="24"/>
        <v>0</v>
      </c>
      <c r="AO12" s="301">
        <f t="shared" si="25"/>
        <v>0</v>
      </c>
      <c r="AP12" s="301">
        <f t="shared" si="26"/>
        <v>0</v>
      </c>
      <c r="AQ12" s="301">
        <f t="shared" si="27"/>
        <v>0</v>
      </c>
      <c r="AR12" s="301">
        <f t="shared" si="28"/>
        <v>0</v>
      </c>
      <c r="AS12" s="301">
        <f t="shared" si="29"/>
        <v>0</v>
      </c>
      <c r="AT12" s="302">
        <f t="shared" si="30"/>
        <v>0</v>
      </c>
      <c r="AU12" s="302">
        <f t="shared" si="31"/>
        <v>0</v>
      </c>
      <c r="AV12" s="81">
        <f t="shared" si="32"/>
        <v>0</v>
      </c>
      <c r="AW12" s="82">
        <f t="shared" si="33"/>
        <v>0</v>
      </c>
      <c r="AX12" s="81">
        <f t="shared" si="34"/>
        <v>0</v>
      </c>
      <c r="AY12" s="83">
        <f t="shared" si="35"/>
        <v>0</v>
      </c>
      <c r="AZ12" s="83">
        <f t="shared" si="36"/>
        <v>0</v>
      </c>
      <c r="BA12" s="82">
        <f>IF(OR(B12=Feiertage!$A$16,B12=Feiertage!$A$19),U12*Zuschläge_24_31/100,IF(AZ12&gt;0,AZ12*Feiertag_mit/100,IF(AX12&gt;0,AX12*Zuschläge_Sa/100,IF(AY12&gt;0,AY12*Zuschlag_So/100,0))))</f>
        <v>0</v>
      </c>
      <c r="BB12" s="82">
        <f>IF(AND(B12&lt;&gt;0,G12=Voreinstellung_Übersicht!$D$41),IF(EG=1,W12*Über_klein/100,IF(EG=2,W12*Über_groß/100,"Fehler")),0)</f>
        <v>0</v>
      </c>
      <c r="BC12" s="299">
        <f t="shared" ca="1" si="41"/>
        <v>0</v>
      </c>
      <c r="BD12" s="219">
        <f t="shared" ca="1" si="37"/>
        <v>1</v>
      </c>
      <c r="BE12" s="303">
        <f ca="1">IF(B12="","",INDIRECT(ADDRESS(MATCH(B12,Soll_AZ,1)+MATCH("Arbeitszeit 1 ab",Voreinstellung_Übersicht!B:B,0)-1,4,,,"Voreinstellung_Übersicht"),TRUE))</f>
        <v>1.6666666666666665</v>
      </c>
      <c r="BF12" s="1">
        <f t="shared" si="42"/>
        <v>0</v>
      </c>
    </row>
    <row r="13" spans="1:58" x14ac:dyDescent="0.3">
      <c r="A13" s="218">
        <f t="shared" si="0"/>
        <v>2</v>
      </c>
      <c r="B13" s="47">
        <f t="shared" si="38"/>
        <v>42009</v>
      </c>
      <c r="C13" s="219">
        <f t="shared" si="1"/>
        <v>0</v>
      </c>
      <c r="D13" s="220" t="str">
        <f t="shared" si="2"/>
        <v/>
      </c>
      <c r="E13" s="298" t="str">
        <f t="shared" si="3"/>
        <v/>
      </c>
      <c r="F13" s="87">
        <f t="shared" si="4"/>
        <v>42009</v>
      </c>
      <c r="G13" s="147"/>
      <c r="H13" s="74"/>
      <c r="I13" s="75"/>
      <c r="J13" s="221">
        <f t="shared" si="5"/>
        <v>0</v>
      </c>
      <c r="K13" s="76"/>
      <c r="L13" s="221">
        <f t="shared" si="43"/>
        <v>0</v>
      </c>
      <c r="M13" s="74"/>
      <c r="N13" s="75"/>
      <c r="O13" s="221">
        <f t="shared" si="6"/>
        <v>0</v>
      </c>
      <c r="P13" s="76"/>
      <c r="Q13" s="221">
        <f t="shared" si="44"/>
        <v>0</v>
      </c>
      <c r="R13" s="221">
        <f t="shared" si="45"/>
        <v>0</v>
      </c>
      <c r="S13" s="221">
        <f t="shared" si="7"/>
        <v>0</v>
      </c>
      <c r="T13" s="79">
        <f t="shared" si="8"/>
        <v>0</v>
      </c>
      <c r="U13" s="79">
        <f t="shared" si="39"/>
        <v>0</v>
      </c>
      <c r="V13" s="80">
        <f t="shared" ca="1" si="9"/>
        <v>0</v>
      </c>
      <c r="W13" s="249" t="str">
        <f t="shared" ca="1" si="10"/>
        <v/>
      </c>
      <c r="X13" s="293"/>
      <c r="Y13" s="221">
        <f t="shared" si="11"/>
        <v>0</v>
      </c>
      <c r="Z13" s="299">
        <f ca="1">IF(B13="","",INDIRECT(ADDRESS(MATCH(B13,Soll_AZ,1)+MATCH("Arbeitszeit 1 ab",Voreinstellung_Übersicht!B:B,0)-1,WEEKDAY(B13,2)+4,,,"Voreinstellung_Übersicht"),TRUE))</f>
        <v>0</v>
      </c>
      <c r="AA13" s="300">
        <f t="shared" ca="1" si="40"/>
        <v>0</v>
      </c>
      <c r="AB13" s="219">
        <f t="shared" si="12"/>
        <v>0</v>
      </c>
      <c r="AC13" s="219">
        <f t="shared" si="13"/>
        <v>0</v>
      </c>
      <c r="AD13" s="219">
        <f t="shared" si="14"/>
        <v>0</v>
      </c>
      <c r="AE13" s="219">
        <f t="shared" si="15"/>
        <v>0</v>
      </c>
      <c r="AF13" s="219">
        <f t="shared" si="16"/>
        <v>0</v>
      </c>
      <c r="AG13" s="219">
        <f t="shared" si="17"/>
        <v>0</v>
      </c>
      <c r="AH13" s="219">
        <f t="shared" si="18"/>
        <v>0</v>
      </c>
      <c r="AI13" s="219">
        <f t="shared" si="19"/>
        <v>0</v>
      </c>
      <c r="AJ13" s="219">
        <f t="shared" si="20"/>
        <v>0</v>
      </c>
      <c r="AK13" s="219">
        <f t="shared" si="21"/>
        <v>0</v>
      </c>
      <c r="AL13" s="219">
        <f t="shared" si="22"/>
        <v>0</v>
      </c>
      <c r="AM13" s="219">
        <f t="shared" si="23"/>
        <v>0</v>
      </c>
      <c r="AN13" s="301">
        <f t="shared" si="24"/>
        <v>0</v>
      </c>
      <c r="AO13" s="301">
        <f t="shared" si="25"/>
        <v>0</v>
      </c>
      <c r="AP13" s="301">
        <f t="shared" si="26"/>
        <v>0</v>
      </c>
      <c r="AQ13" s="301">
        <f t="shared" si="27"/>
        <v>0</v>
      </c>
      <c r="AR13" s="301">
        <f t="shared" si="28"/>
        <v>0</v>
      </c>
      <c r="AS13" s="301">
        <f t="shared" si="29"/>
        <v>0</v>
      </c>
      <c r="AT13" s="302">
        <f t="shared" si="30"/>
        <v>0</v>
      </c>
      <c r="AU13" s="302">
        <f t="shared" si="31"/>
        <v>0</v>
      </c>
      <c r="AV13" s="81">
        <f t="shared" si="32"/>
        <v>0</v>
      </c>
      <c r="AW13" s="82">
        <f t="shared" si="33"/>
        <v>0</v>
      </c>
      <c r="AX13" s="81">
        <f t="shared" si="34"/>
        <v>0</v>
      </c>
      <c r="AY13" s="83">
        <f t="shared" si="35"/>
        <v>0</v>
      </c>
      <c r="AZ13" s="83">
        <f t="shared" si="36"/>
        <v>0</v>
      </c>
      <c r="BA13" s="82">
        <f>IF(OR(B13=Feiertage!$A$16,B13=Feiertage!$A$19),U13*Zuschläge_24_31/100,IF(AZ13&gt;0,AZ13*Feiertag_mit/100,IF(AX13&gt;0,AX13*Zuschläge_Sa/100,IF(AY13&gt;0,AY13*Zuschlag_So/100,0))))</f>
        <v>0</v>
      </c>
      <c r="BB13" s="82">
        <f>IF(AND(B13&lt;&gt;0,G13=Voreinstellung_Übersicht!$D$41),IF(EG=1,W13*Über_klein/100,IF(EG=2,W13*Über_groß/100,"Fehler")),0)</f>
        <v>0</v>
      </c>
      <c r="BC13" s="299">
        <f t="shared" ca="1" si="41"/>
        <v>0</v>
      </c>
      <c r="BD13" s="219">
        <f t="shared" ca="1" si="37"/>
        <v>1</v>
      </c>
      <c r="BE13" s="303">
        <f ca="1">IF(B13="","",INDIRECT(ADDRESS(MATCH(B13,Soll_AZ,1)+MATCH("Arbeitszeit 1 ab",Voreinstellung_Übersicht!B:B,0)-1,4,,,"Voreinstellung_Übersicht"),TRUE))</f>
        <v>1.6666666666666665</v>
      </c>
      <c r="BF13" s="1">
        <f t="shared" si="42"/>
        <v>0</v>
      </c>
    </row>
    <row r="14" spans="1:58" x14ac:dyDescent="0.3">
      <c r="A14" s="218">
        <f t="shared" si="0"/>
        <v>2</v>
      </c>
      <c r="B14" s="47">
        <f t="shared" si="38"/>
        <v>42010</v>
      </c>
      <c r="C14" s="219">
        <f t="shared" si="1"/>
        <v>1</v>
      </c>
      <c r="D14" s="220" t="str">
        <f t="shared" si="2"/>
        <v/>
      </c>
      <c r="E14" s="298" t="str">
        <f t="shared" si="3"/>
        <v/>
      </c>
      <c r="F14" s="87">
        <f t="shared" si="4"/>
        <v>42010</v>
      </c>
      <c r="G14" s="147"/>
      <c r="H14" s="74"/>
      <c r="I14" s="75"/>
      <c r="J14" s="221">
        <f t="shared" si="5"/>
        <v>0</v>
      </c>
      <c r="K14" s="76"/>
      <c r="L14" s="221">
        <f t="shared" si="43"/>
        <v>0</v>
      </c>
      <c r="M14" s="74"/>
      <c r="N14" s="75"/>
      <c r="O14" s="221">
        <f t="shared" si="6"/>
        <v>0</v>
      </c>
      <c r="P14" s="76"/>
      <c r="Q14" s="221">
        <f t="shared" si="44"/>
        <v>0</v>
      </c>
      <c r="R14" s="221">
        <f t="shared" si="45"/>
        <v>0</v>
      </c>
      <c r="S14" s="221">
        <f t="shared" si="7"/>
        <v>0</v>
      </c>
      <c r="T14" s="79">
        <f t="shared" si="8"/>
        <v>0</v>
      </c>
      <c r="U14" s="79">
        <f t="shared" si="39"/>
        <v>0</v>
      </c>
      <c r="V14" s="80">
        <f t="shared" ca="1" si="9"/>
        <v>0.33333333329999998</v>
      </c>
      <c r="W14" s="249" t="str">
        <f t="shared" ca="1" si="10"/>
        <v/>
      </c>
      <c r="X14" s="293"/>
      <c r="Y14" s="221">
        <f t="shared" si="11"/>
        <v>0</v>
      </c>
      <c r="Z14" s="299">
        <f ca="1">IF(B14="","",INDIRECT(ADDRESS(MATCH(B14,Soll_AZ,1)+MATCH("Arbeitszeit 1 ab",Voreinstellung_Übersicht!B:B,0)-1,WEEKDAY(B14,2)+4,,,"Voreinstellung_Übersicht"),TRUE))</f>
        <v>0.33333333333333331</v>
      </c>
      <c r="AA14" s="300">
        <f t="shared" ca="1" si="40"/>
        <v>0</v>
      </c>
      <c r="AB14" s="219">
        <f t="shared" si="12"/>
        <v>0</v>
      </c>
      <c r="AC14" s="219">
        <f t="shared" si="13"/>
        <v>0</v>
      </c>
      <c r="AD14" s="219">
        <f t="shared" si="14"/>
        <v>0</v>
      </c>
      <c r="AE14" s="219">
        <f t="shared" si="15"/>
        <v>0</v>
      </c>
      <c r="AF14" s="219">
        <f t="shared" si="16"/>
        <v>0</v>
      </c>
      <c r="AG14" s="219">
        <f t="shared" si="17"/>
        <v>0</v>
      </c>
      <c r="AH14" s="219">
        <f t="shared" si="18"/>
        <v>0</v>
      </c>
      <c r="AI14" s="219">
        <f t="shared" si="19"/>
        <v>0</v>
      </c>
      <c r="AJ14" s="219">
        <f t="shared" si="20"/>
        <v>0</v>
      </c>
      <c r="AK14" s="219">
        <f t="shared" si="21"/>
        <v>0</v>
      </c>
      <c r="AL14" s="219">
        <f t="shared" si="22"/>
        <v>0</v>
      </c>
      <c r="AM14" s="219">
        <f t="shared" si="23"/>
        <v>0</v>
      </c>
      <c r="AN14" s="301">
        <f t="shared" si="24"/>
        <v>0</v>
      </c>
      <c r="AO14" s="301">
        <f t="shared" si="25"/>
        <v>0</v>
      </c>
      <c r="AP14" s="301">
        <f t="shared" si="26"/>
        <v>0</v>
      </c>
      <c r="AQ14" s="301">
        <f t="shared" si="27"/>
        <v>0</v>
      </c>
      <c r="AR14" s="301">
        <f t="shared" si="28"/>
        <v>0</v>
      </c>
      <c r="AS14" s="301">
        <f t="shared" si="29"/>
        <v>0</v>
      </c>
      <c r="AT14" s="302">
        <f t="shared" si="30"/>
        <v>0</v>
      </c>
      <c r="AU14" s="302">
        <f t="shared" si="31"/>
        <v>0</v>
      </c>
      <c r="AV14" s="81">
        <f t="shared" si="32"/>
        <v>0</v>
      </c>
      <c r="AW14" s="82">
        <f t="shared" si="33"/>
        <v>0</v>
      </c>
      <c r="AX14" s="81">
        <f t="shared" si="34"/>
        <v>0</v>
      </c>
      <c r="AY14" s="83">
        <f t="shared" si="35"/>
        <v>0</v>
      </c>
      <c r="AZ14" s="83">
        <f t="shared" si="36"/>
        <v>0</v>
      </c>
      <c r="BA14" s="82">
        <f>IF(OR(B14=Feiertage!$A$16,B14=Feiertage!$A$19),U14*Zuschläge_24_31/100,IF(AZ14&gt;0,AZ14*Feiertag_mit/100,IF(AX14&gt;0,AX14*Zuschläge_Sa/100,IF(AY14&gt;0,AY14*Zuschlag_So/100,0))))</f>
        <v>0</v>
      </c>
      <c r="BB14" s="82">
        <f>IF(AND(B14&lt;&gt;0,G14=Voreinstellung_Übersicht!$D$41),IF(EG=1,W14*Über_klein/100,IF(EG=2,W14*Über_groß/100,"Fehler")),0)</f>
        <v>0</v>
      </c>
      <c r="BC14" s="299">
        <f t="shared" ca="1" si="41"/>
        <v>0</v>
      </c>
      <c r="BD14" s="219">
        <f t="shared" ca="1" si="37"/>
        <v>1</v>
      </c>
      <c r="BE14" s="303">
        <f ca="1">IF(B14="","",INDIRECT(ADDRESS(MATCH(B14,Soll_AZ,1)+MATCH("Arbeitszeit 1 ab",Voreinstellung_Übersicht!B:B,0)-1,4,,,"Voreinstellung_Übersicht"),TRUE))</f>
        <v>1.6666666666666665</v>
      </c>
      <c r="BF14" s="1">
        <f t="shared" si="42"/>
        <v>0</v>
      </c>
    </row>
    <row r="15" spans="1:58" x14ac:dyDescent="0.3">
      <c r="A15" s="218">
        <f t="shared" si="0"/>
        <v>2</v>
      </c>
      <c r="B15" s="47">
        <f t="shared" si="38"/>
        <v>42011</v>
      </c>
      <c r="C15" s="219">
        <f t="shared" si="1"/>
        <v>1</v>
      </c>
      <c r="D15" s="220" t="str">
        <f t="shared" si="2"/>
        <v/>
      </c>
      <c r="E15" s="298" t="str">
        <f t="shared" si="3"/>
        <v/>
      </c>
      <c r="F15" s="87">
        <f t="shared" si="4"/>
        <v>42011</v>
      </c>
      <c r="G15" s="147"/>
      <c r="H15" s="74"/>
      <c r="I15" s="75"/>
      <c r="J15" s="221">
        <f t="shared" si="5"/>
        <v>0</v>
      </c>
      <c r="K15" s="76"/>
      <c r="L15" s="221">
        <f t="shared" si="43"/>
        <v>0</v>
      </c>
      <c r="M15" s="74"/>
      <c r="N15" s="75"/>
      <c r="O15" s="221">
        <f t="shared" si="6"/>
        <v>0</v>
      </c>
      <c r="P15" s="76"/>
      <c r="Q15" s="221">
        <f t="shared" si="44"/>
        <v>0</v>
      </c>
      <c r="R15" s="221">
        <f t="shared" si="45"/>
        <v>0</v>
      </c>
      <c r="S15" s="221">
        <f t="shared" si="7"/>
        <v>0</v>
      </c>
      <c r="T15" s="79">
        <f t="shared" si="8"/>
        <v>0</v>
      </c>
      <c r="U15" s="79">
        <f t="shared" si="39"/>
        <v>0</v>
      </c>
      <c r="V15" s="80">
        <f t="shared" ca="1" si="9"/>
        <v>0.33333333329999998</v>
      </c>
      <c r="W15" s="249" t="str">
        <f t="shared" ca="1" si="10"/>
        <v/>
      </c>
      <c r="X15" s="293"/>
      <c r="Y15" s="221">
        <f t="shared" si="11"/>
        <v>0</v>
      </c>
      <c r="Z15" s="299">
        <f ca="1">IF(B15="","",INDIRECT(ADDRESS(MATCH(B15,Soll_AZ,1)+MATCH("Arbeitszeit 1 ab",Voreinstellung_Übersicht!B:B,0)-1,WEEKDAY(B15,2)+4,,,"Voreinstellung_Übersicht"),TRUE))</f>
        <v>0.33333333333333331</v>
      </c>
      <c r="AA15" s="300">
        <f t="shared" ca="1" si="40"/>
        <v>0</v>
      </c>
      <c r="AB15" s="219">
        <f t="shared" si="12"/>
        <v>0</v>
      </c>
      <c r="AC15" s="219">
        <f t="shared" si="13"/>
        <v>0</v>
      </c>
      <c r="AD15" s="219">
        <f t="shared" si="14"/>
        <v>0</v>
      </c>
      <c r="AE15" s="219">
        <f t="shared" si="15"/>
        <v>0</v>
      </c>
      <c r="AF15" s="219">
        <f t="shared" si="16"/>
        <v>0</v>
      </c>
      <c r="AG15" s="219">
        <f t="shared" si="17"/>
        <v>0</v>
      </c>
      <c r="AH15" s="219">
        <f t="shared" si="18"/>
        <v>0</v>
      </c>
      <c r="AI15" s="219">
        <f t="shared" si="19"/>
        <v>0</v>
      </c>
      <c r="AJ15" s="219">
        <f t="shared" si="20"/>
        <v>0</v>
      </c>
      <c r="AK15" s="219">
        <f t="shared" si="21"/>
        <v>0</v>
      </c>
      <c r="AL15" s="219">
        <f t="shared" si="22"/>
        <v>0</v>
      </c>
      <c r="AM15" s="219">
        <f t="shared" si="23"/>
        <v>0</v>
      </c>
      <c r="AN15" s="301">
        <f t="shared" si="24"/>
        <v>0</v>
      </c>
      <c r="AO15" s="301">
        <f t="shared" si="25"/>
        <v>0</v>
      </c>
      <c r="AP15" s="301">
        <f t="shared" si="26"/>
        <v>0</v>
      </c>
      <c r="AQ15" s="301">
        <f t="shared" si="27"/>
        <v>0</v>
      </c>
      <c r="AR15" s="301">
        <f t="shared" si="28"/>
        <v>0</v>
      </c>
      <c r="AS15" s="301">
        <f t="shared" si="29"/>
        <v>0</v>
      </c>
      <c r="AT15" s="302">
        <f t="shared" si="30"/>
        <v>0</v>
      </c>
      <c r="AU15" s="302">
        <f t="shared" si="31"/>
        <v>0</v>
      </c>
      <c r="AV15" s="81">
        <f t="shared" si="32"/>
        <v>0</v>
      </c>
      <c r="AW15" s="82">
        <f t="shared" si="33"/>
        <v>0</v>
      </c>
      <c r="AX15" s="81">
        <f t="shared" si="34"/>
        <v>0</v>
      </c>
      <c r="AY15" s="83">
        <f t="shared" si="35"/>
        <v>0</v>
      </c>
      <c r="AZ15" s="83">
        <f t="shared" si="36"/>
        <v>0</v>
      </c>
      <c r="BA15" s="82">
        <f>IF(OR(B15=Feiertage!$A$16,B15=Feiertage!$A$19),U15*Zuschläge_24_31/100,IF(AZ15&gt;0,AZ15*Feiertag_mit/100,IF(AX15&gt;0,AX15*Zuschläge_Sa/100,IF(AY15&gt;0,AY15*Zuschlag_So/100,0))))</f>
        <v>0</v>
      </c>
      <c r="BB15" s="82">
        <f>IF(AND(B15&lt;&gt;0,G15=Voreinstellung_Übersicht!$D$41),IF(EG=1,W15*Über_klein/100,IF(EG=2,W15*Über_groß/100,"Fehler")),0)</f>
        <v>0</v>
      </c>
      <c r="BC15" s="299">
        <f t="shared" ca="1" si="41"/>
        <v>0</v>
      </c>
      <c r="BD15" s="219">
        <f t="shared" ca="1" si="37"/>
        <v>1</v>
      </c>
      <c r="BE15" s="303">
        <f ca="1">IF(B15="","",INDIRECT(ADDRESS(MATCH(B15,Soll_AZ,1)+MATCH("Arbeitszeit 1 ab",Voreinstellung_Übersicht!B:B,0)-1,4,,,"Voreinstellung_Übersicht"),TRUE))</f>
        <v>1.6666666666666665</v>
      </c>
      <c r="BF15" s="1">
        <f t="shared" si="42"/>
        <v>0</v>
      </c>
    </row>
    <row r="16" spans="1:58" x14ac:dyDescent="0.3">
      <c r="A16" s="218">
        <f t="shared" si="0"/>
        <v>2</v>
      </c>
      <c r="B16" s="47">
        <f t="shared" si="38"/>
        <v>42012</v>
      </c>
      <c r="C16" s="219">
        <f t="shared" si="1"/>
        <v>1</v>
      </c>
      <c r="D16" s="220" t="str">
        <f t="shared" si="2"/>
        <v/>
      </c>
      <c r="E16" s="298" t="str">
        <f t="shared" si="3"/>
        <v/>
      </c>
      <c r="F16" s="87">
        <f t="shared" si="4"/>
        <v>42012</v>
      </c>
      <c r="G16" s="147"/>
      <c r="H16" s="74"/>
      <c r="I16" s="75"/>
      <c r="J16" s="221">
        <f t="shared" si="5"/>
        <v>0</v>
      </c>
      <c r="K16" s="76"/>
      <c r="L16" s="221">
        <f t="shared" si="43"/>
        <v>0</v>
      </c>
      <c r="M16" s="74"/>
      <c r="N16" s="75"/>
      <c r="O16" s="221">
        <f t="shared" si="6"/>
        <v>0</v>
      </c>
      <c r="P16" s="76"/>
      <c r="Q16" s="221">
        <f t="shared" si="44"/>
        <v>0</v>
      </c>
      <c r="R16" s="221">
        <f t="shared" si="45"/>
        <v>0</v>
      </c>
      <c r="S16" s="221">
        <f t="shared" si="7"/>
        <v>0</v>
      </c>
      <c r="T16" s="79">
        <f t="shared" si="8"/>
        <v>0</v>
      </c>
      <c r="U16" s="79">
        <f t="shared" si="39"/>
        <v>0</v>
      </c>
      <c r="V16" s="80">
        <f t="shared" ca="1" si="9"/>
        <v>0.33333333329999998</v>
      </c>
      <c r="W16" s="249" t="str">
        <f t="shared" ca="1" si="10"/>
        <v/>
      </c>
      <c r="X16" s="293"/>
      <c r="Y16" s="221">
        <f t="shared" si="11"/>
        <v>0</v>
      </c>
      <c r="Z16" s="299">
        <f ca="1">IF(B16="","",INDIRECT(ADDRESS(MATCH(B16,Soll_AZ,1)+MATCH("Arbeitszeit 1 ab",Voreinstellung_Übersicht!B:B,0)-1,WEEKDAY(B16,2)+4,,,"Voreinstellung_Übersicht"),TRUE))</f>
        <v>0.33333333333333331</v>
      </c>
      <c r="AA16" s="300">
        <f t="shared" ca="1" si="40"/>
        <v>0</v>
      </c>
      <c r="AB16" s="219">
        <f t="shared" si="12"/>
        <v>0</v>
      </c>
      <c r="AC16" s="219">
        <f t="shared" si="13"/>
        <v>0</v>
      </c>
      <c r="AD16" s="219">
        <f t="shared" si="14"/>
        <v>0</v>
      </c>
      <c r="AE16" s="219">
        <f t="shared" si="15"/>
        <v>0</v>
      </c>
      <c r="AF16" s="219">
        <f t="shared" si="16"/>
        <v>0</v>
      </c>
      <c r="AG16" s="219">
        <f t="shared" si="17"/>
        <v>0</v>
      </c>
      <c r="AH16" s="219">
        <f t="shared" si="18"/>
        <v>0</v>
      </c>
      <c r="AI16" s="219">
        <f t="shared" si="19"/>
        <v>0</v>
      </c>
      <c r="AJ16" s="219">
        <f t="shared" si="20"/>
        <v>0</v>
      </c>
      <c r="AK16" s="219">
        <f t="shared" si="21"/>
        <v>0</v>
      </c>
      <c r="AL16" s="219">
        <f t="shared" si="22"/>
        <v>0</v>
      </c>
      <c r="AM16" s="219">
        <f t="shared" si="23"/>
        <v>0</v>
      </c>
      <c r="AN16" s="301">
        <f t="shared" si="24"/>
        <v>0</v>
      </c>
      <c r="AO16" s="301">
        <f t="shared" si="25"/>
        <v>0</v>
      </c>
      <c r="AP16" s="301">
        <f t="shared" si="26"/>
        <v>0</v>
      </c>
      <c r="AQ16" s="301">
        <f t="shared" si="27"/>
        <v>0</v>
      </c>
      <c r="AR16" s="301">
        <f t="shared" si="28"/>
        <v>0</v>
      </c>
      <c r="AS16" s="301">
        <f t="shared" si="29"/>
        <v>0</v>
      </c>
      <c r="AT16" s="302">
        <f t="shared" si="30"/>
        <v>0</v>
      </c>
      <c r="AU16" s="302">
        <f t="shared" si="31"/>
        <v>0</v>
      </c>
      <c r="AV16" s="81">
        <f t="shared" si="32"/>
        <v>0</v>
      </c>
      <c r="AW16" s="82">
        <f t="shared" si="33"/>
        <v>0</v>
      </c>
      <c r="AX16" s="81">
        <f t="shared" si="34"/>
        <v>0</v>
      </c>
      <c r="AY16" s="83">
        <f t="shared" si="35"/>
        <v>0</v>
      </c>
      <c r="AZ16" s="83">
        <f t="shared" si="36"/>
        <v>0</v>
      </c>
      <c r="BA16" s="82">
        <f>IF(OR(B16=Feiertage!$A$16,B16=Feiertage!$A$19),U16*Zuschläge_24_31/100,IF(AZ16&gt;0,AZ16*Feiertag_mit/100,IF(AX16&gt;0,AX16*Zuschläge_Sa/100,IF(AY16&gt;0,AY16*Zuschlag_So/100,0))))</f>
        <v>0</v>
      </c>
      <c r="BB16" s="82">
        <f>IF(AND(B16&lt;&gt;0,G16=Voreinstellung_Übersicht!$D$41),IF(EG=1,W16*Über_klein/100,IF(EG=2,W16*Über_groß/100,"Fehler")),0)</f>
        <v>0</v>
      </c>
      <c r="BC16" s="299">
        <f t="shared" ca="1" si="41"/>
        <v>0</v>
      </c>
      <c r="BD16" s="219">
        <f t="shared" ca="1" si="37"/>
        <v>1</v>
      </c>
      <c r="BE16" s="303">
        <f ca="1">IF(B16="","",INDIRECT(ADDRESS(MATCH(B16,Soll_AZ,1)+MATCH("Arbeitszeit 1 ab",Voreinstellung_Übersicht!B:B,0)-1,4,,,"Voreinstellung_Übersicht"),TRUE))</f>
        <v>1.6666666666666665</v>
      </c>
      <c r="BF16" s="1">
        <f t="shared" si="42"/>
        <v>0</v>
      </c>
    </row>
    <row r="17" spans="1:58" x14ac:dyDescent="0.3">
      <c r="A17" s="218">
        <f t="shared" si="0"/>
        <v>2</v>
      </c>
      <c r="B17" s="47">
        <f t="shared" si="38"/>
        <v>42013</v>
      </c>
      <c r="C17" s="219">
        <f t="shared" si="1"/>
        <v>1</v>
      </c>
      <c r="D17" s="220" t="str">
        <f t="shared" si="2"/>
        <v/>
      </c>
      <c r="E17" s="298" t="str">
        <f t="shared" si="3"/>
        <v/>
      </c>
      <c r="F17" s="87">
        <f t="shared" si="4"/>
        <v>42013</v>
      </c>
      <c r="G17" s="147"/>
      <c r="H17" s="74"/>
      <c r="I17" s="75"/>
      <c r="J17" s="221">
        <f t="shared" si="5"/>
        <v>0</v>
      </c>
      <c r="K17" s="76"/>
      <c r="L17" s="221">
        <f t="shared" si="43"/>
        <v>0</v>
      </c>
      <c r="M17" s="74"/>
      <c r="N17" s="75"/>
      <c r="O17" s="221">
        <f t="shared" si="6"/>
        <v>0</v>
      </c>
      <c r="P17" s="76"/>
      <c r="Q17" s="221">
        <f t="shared" si="44"/>
        <v>0</v>
      </c>
      <c r="R17" s="221">
        <f t="shared" si="45"/>
        <v>0</v>
      </c>
      <c r="S17" s="221">
        <f t="shared" si="7"/>
        <v>0</v>
      </c>
      <c r="T17" s="79">
        <f t="shared" si="8"/>
        <v>0</v>
      </c>
      <c r="U17" s="79">
        <f t="shared" si="39"/>
        <v>0</v>
      </c>
      <c r="V17" s="80">
        <f t="shared" ca="1" si="9"/>
        <v>0.33333333329999998</v>
      </c>
      <c r="W17" s="249" t="str">
        <f t="shared" ca="1" si="10"/>
        <v/>
      </c>
      <c r="X17" s="293"/>
      <c r="Y17" s="221">
        <f t="shared" si="11"/>
        <v>0</v>
      </c>
      <c r="Z17" s="299">
        <f ca="1">IF(B17="","",INDIRECT(ADDRESS(MATCH(B17,Soll_AZ,1)+MATCH("Arbeitszeit 1 ab",Voreinstellung_Übersicht!B:B,0)-1,WEEKDAY(B17,2)+4,,,"Voreinstellung_Übersicht"),TRUE))</f>
        <v>0.33333333333333331</v>
      </c>
      <c r="AA17" s="300">
        <f t="shared" ca="1" si="40"/>
        <v>0</v>
      </c>
      <c r="AB17" s="219">
        <f t="shared" si="12"/>
        <v>0</v>
      </c>
      <c r="AC17" s="219">
        <f t="shared" si="13"/>
        <v>0</v>
      </c>
      <c r="AD17" s="219">
        <f t="shared" si="14"/>
        <v>0</v>
      </c>
      <c r="AE17" s="219">
        <f t="shared" si="15"/>
        <v>0</v>
      </c>
      <c r="AF17" s="219">
        <f t="shared" si="16"/>
        <v>0</v>
      </c>
      <c r="AG17" s="219">
        <f t="shared" si="17"/>
        <v>0</v>
      </c>
      <c r="AH17" s="219">
        <f t="shared" si="18"/>
        <v>0</v>
      </c>
      <c r="AI17" s="219">
        <f t="shared" si="19"/>
        <v>0</v>
      </c>
      <c r="AJ17" s="219">
        <f t="shared" si="20"/>
        <v>0</v>
      </c>
      <c r="AK17" s="219">
        <f t="shared" si="21"/>
        <v>0</v>
      </c>
      <c r="AL17" s="219">
        <f t="shared" si="22"/>
        <v>0</v>
      </c>
      <c r="AM17" s="219">
        <f t="shared" si="23"/>
        <v>0</v>
      </c>
      <c r="AN17" s="301">
        <f t="shared" si="24"/>
        <v>0</v>
      </c>
      <c r="AO17" s="301">
        <f t="shared" si="25"/>
        <v>0</v>
      </c>
      <c r="AP17" s="301">
        <f t="shared" si="26"/>
        <v>0</v>
      </c>
      <c r="AQ17" s="301">
        <f t="shared" si="27"/>
        <v>0</v>
      </c>
      <c r="AR17" s="301">
        <f t="shared" si="28"/>
        <v>0</v>
      </c>
      <c r="AS17" s="301">
        <f t="shared" si="29"/>
        <v>0</v>
      </c>
      <c r="AT17" s="302">
        <f t="shared" si="30"/>
        <v>0</v>
      </c>
      <c r="AU17" s="302">
        <f t="shared" si="31"/>
        <v>0</v>
      </c>
      <c r="AV17" s="81">
        <f t="shared" si="32"/>
        <v>0</v>
      </c>
      <c r="AW17" s="82">
        <f t="shared" si="33"/>
        <v>0</v>
      </c>
      <c r="AX17" s="81">
        <f t="shared" si="34"/>
        <v>0</v>
      </c>
      <c r="AY17" s="83">
        <f t="shared" si="35"/>
        <v>0</v>
      </c>
      <c r="AZ17" s="83">
        <f t="shared" si="36"/>
        <v>0</v>
      </c>
      <c r="BA17" s="82">
        <f>IF(OR(B17=Feiertage!$A$16,B17=Feiertage!$A$19),U17*Zuschläge_24_31/100,IF(AZ17&gt;0,AZ17*Feiertag_mit/100,IF(AX17&gt;0,AX17*Zuschläge_Sa/100,IF(AY17&gt;0,AY17*Zuschlag_So/100,0))))</f>
        <v>0</v>
      </c>
      <c r="BB17" s="82">
        <f>IF(AND(B17&lt;&gt;0,G17=Voreinstellung_Übersicht!$D$41),IF(EG=1,W17*Über_klein/100,IF(EG=2,W17*Über_groß/100,"Fehler")),0)</f>
        <v>0</v>
      </c>
      <c r="BC17" s="299">
        <f t="shared" ca="1" si="41"/>
        <v>0</v>
      </c>
      <c r="BD17" s="219">
        <f t="shared" ca="1" si="37"/>
        <v>1</v>
      </c>
      <c r="BE17" s="303">
        <f ca="1">IF(B17="","",INDIRECT(ADDRESS(MATCH(B17,Soll_AZ,1)+MATCH("Arbeitszeit 1 ab",Voreinstellung_Übersicht!B:B,0)-1,4,,,"Voreinstellung_Übersicht"),TRUE))</f>
        <v>1.6666666666666665</v>
      </c>
      <c r="BF17" s="1">
        <f t="shared" si="42"/>
        <v>0</v>
      </c>
    </row>
    <row r="18" spans="1:58" x14ac:dyDescent="0.3">
      <c r="A18" s="218">
        <f t="shared" si="0"/>
        <v>2</v>
      </c>
      <c r="B18" s="47">
        <f t="shared" si="38"/>
        <v>42014</v>
      </c>
      <c r="C18" s="219">
        <f t="shared" si="1"/>
        <v>1</v>
      </c>
      <c r="D18" s="220" t="str">
        <f t="shared" si="2"/>
        <v/>
      </c>
      <c r="E18" s="298" t="str">
        <f t="shared" si="3"/>
        <v/>
      </c>
      <c r="F18" s="87">
        <f t="shared" si="4"/>
        <v>42014</v>
      </c>
      <c r="G18" s="147"/>
      <c r="H18" s="74"/>
      <c r="I18" s="75"/>
      <c r="J18" s="221">
        <f t="shared" si="5"/>
        <v>0</v>
      </c>
      <c r="K18" s="76"/>
      <c r="L18" s="221">
        <f t="shared" si="43"/>
        <v>0</v>
      </c>
      <c r="M18" s="74"/>
      <c r="N18" s="75"/>
      <c r="O18" s="221">
        <f t="shared" si="6"/>
        <v>0</v>
      </c>
      <c r="P18" s="76"/>
      <c r="Q18" s="221">
        <f t="shared" si="44"/>
        <v>0</v>
      </c>
      <c r="R18" s="221">
        <f t="shared" si="45"/>
        <v>0</v>
      </c>
      <c r="S18" s="221">
        <f t="shared" si="7"/>
        <v>0</v>
      </c>
      <c r="T18" s="79">
        <f t="shared" si="8"/>
        <v>0</v>
      </c>
      <c r="U18" s="79">
        <f t="shared" si="39"/>
        <v>0</v>
      </c>
      <c r="V18" s="80">
        <f t="shared" ca="1" si="9"/>
        <v>0.33333333329999998</v>
      </c>
      <c r="W18" s="249" t="str">
        <f t="shared" ca="1" si="10"/>
        <v/>
      </c>
      <c r="X18" s="293"/>
      <c r="Y18" s="221">
        <f t="shared" si="11"/>
        <v>0</v>
      </c>
      <c r="Z18" s="299">
        <f ca="1">IF(B18="","",INDIRECT(ADDRESS(MATCH(B18,Soll_AZ,1)+MATCH("Arbeitszeit 1 ab",Voreinstellung_Übersicht!B:B,0)-1,WEEKDAY(B18,2)+4,,,"Voreinstellung_Übersicht"),TRUE))</f>
        <v>0.33333333333333331</v>
      </c>
      <c r="AA18" s="300">
        <f t="shared" ca="1" si="40"/>
        <v>0</v>
      </c>
      <c r="AB18" s="219">
        <f t="shared" si="12"/>
        <v>0</v>
      </c>
      <c r="AC18" s="219">
        <f t="shared" si="13"/>
        <v>0</v>
      </c>
      <c r="AD18" s="219">
        <f t="shared" si="14"/>
        <v>0</v>
      </c>
      <c r="AE18" s="219">
        <f t="shared" si="15"/>
        <v>0</v>
      </c>
      <c r="AF18" s="219">
        <f t="shared" si="16"/>
        <v>0</v>
      </c>
      <c r="AG18" s="219">
        <f t="shared" si="17"/>
        <v>0</v>
      </c>
      <c r="AH18" s="219">
        <f t="shared" si="18"/>
        <v>0</v>
      </c>
      <c r="AI18" s="219">
        <f t="shared" si="19"/>
        <v>0</v>
      </c>
      <c r="AJ18" s="219">
        <f t="shared" si="20"/>
        <v>0</v>
      </c>
      <c r="AK18" s="219">
        <f t="shared" si="21"/>
        <v>0</v>
      </c>
      <c r="AL18" s="219">
        <f t="shared" si="22"/>
        <v>0</v>
      </c>
      <c r="AM18" s="219">
        <f t="shared" si="23"/>
        <v>0</v>
      </c>
      <c r="AN18" s="301">
        <f t="shared" si="24"/>
        <v>0</v>
      </c>
      <c r="AO18" s="301">
        <f t="shared" si="25"/>
        <v>0</v>
      </c>
      <c r="AP18" s="301">
        <f t="shared" si="26"/>
        <v>0</v>
      </c>
      <c r="AQ18" s="301">
        <f t="shared" si="27"/>
        <v>0</v>
      </c>
      <c r="AR18" s="301">
        <f t="shared" si="28"/>
        <v>0</v>
      </c>
      <c r="AS18" s="301">
        <f t="shared" si="29"/>
        <v>0</v>
      </c>
      <c r="AT18" s="302">
        <f t="shared" si="30"/>
        <v>0</v>
      </c>
      <c r="AU18" s="302">
        <f t="shared" si="31"/>
        <v>0</v>
      </c>
      <c r="AV18" s="81">
        <f t="shared" si="32"/>
        <v>0</v>
      </c>
      <c r="AW18" s="82">
        <f t="shared" si="33"/>
        <v>0</v>
      </c>
      <c r="AX18" s="81">
        <f t="shared" si="34"/>
        <v>0</v>
      </c>
      <c r="AY18" s="83">
        <f t="shared" si="35"/>
        <v>0</v>
      </c>
      <c r="AZ18" s="83">
        <f t="shared" si="36"/>
        <v>0</v>
      </c>
      <c r="BA18" s="82">
        <f>IF(OR(B18=Feiertage!$A$16,B18=Feiertage!$A$19),U18*Zuschläge_24_31/100,IF(AZ18&gt;0,AZ18*Feiertag_mit/100,IF(AX18&gt;0,AX18*Zuschläge_Sa/100,IF(AY18&gt;0,AY18*Zuschlag_So/100,0))))</f>
        <v>0</v>
      </c>
      <c r="BB18" s="82">
        <f>IF(AND(B18&lt;&gt;0,G18=Voreinstellung_Übersicht!$D$41),IF(EG=1,W18*Über_klein/100,IF(EG=2,W18*Über_groß/100,"Fehler")),0)</f>
        <v>0</v>
      </c>
      <c r="BC18" s="299">
        <f t="shared" ca="1" si="41"/>
        <v>0</v>
      </c>
      <c r="BD18" s="219">
        <f t="shared" ca="1" si="37"/>
        <v>1</v>
      </c>
      <c r="BE18" s="303">
        <f ca="1">IF(B18="","",INDIRECT(ADDRESS(MATCH(B18,Soll_AZ,1)+MATCH("Arbeitszeit 1 ab",Voreinstellung_Übersicht!B:B,0)-1,4,,,"Voreinstellung_Übersicht"),TRUE))</f>
        <v>1.6666666666666665</v>
      </c>
      <c r="BF18" s="1">
        <f t="shared" si="42"/>
        <v>0</v>
      </c>
    </row>
    <row r="19" spans="1:58" x14ac:dyDescent="0.3">
      <c r="A19" s="218">
        <f t="shared" si="0"/>
        <v>2</v>
      </c>
      <c r="B19" s="47">
        <f t="shared" si="38"/>
        <v>42015</v>
      </c>
      <c r="C19" s="219">
        <f t="shared" si="1"/>
        <v>0</v>
      </c>
      <c r="D19" s="220" t="str">
        <f t="shared" si="2"/>
        <v/>
      </c>
      <c r="E19" s="298" t="str">
        <f t="shared" si="3"/>
        <v/>
      </c>
      <c r="F19" s="87">
        <f t="shared" si="4"/>
        <v>42015</v>
      </c>
      <c r="G19" s="147"/>
      <c r="H19" s="74"/>
      <c r="I19" s="75"/>
      <c r="J19" s="221">
        <f t="shared" si="5"/>
        <v>0</v>
      </c>
      <c r="K19" s="76"/>
      <c r="L19" s="221">
        <f t="shared" si="43"/>
        <v>0</v>
      </c>
      <c r="M19" s="74"/>
      <c r="N19" s="75"/>
      <c r="O19" s="221">
        <f t="shared" si="6"/>
        <v>0</v>
      </c>
      <c r="P19" s="76"/>
      <c r="Q19" s="221">
        <f t="shared" si="44"/>
        <v>0</v>
      </c>
      <c r="R19" s="221">
        <f t="shared" si="45"/>
        <v>0</v>
      </c>
      <c r="S19" s="221">
        <f t="shared" si="7"/>
        <v>0</v>
      </c>
      <c r="T19" s="79">
        <f t="shared" si="8"/>
        <v>0</v>
      </c>
      <c r="U19" s="79">
        <f t="shared" si="39"/>
        <v>0</v>
      </c>
      <c r="V19" s="80">
        <f t="shared" ca="1" si="9"/>
        <v>0</v>
      </c>
      <c r="W19" s="249" t="str">
        <f t="shared" ca="1" si="10"/>
        <v/>
      </c>
      <c r="X19" s="293"/>
      <c r="Y19" s="221">
        <f t="shared" si="11"/>
        <v>0</v>
      </c>
      <c r="Z19" s="299">
        <f ca="1">IF(B19="","",INDIRECT(ADDRESS(MATCH(B19,Soll_AZ,1)+MATCH("Arbeitszeit 1 ab",Voreinstellung_Übersicht!B:B,0)-1,WEEKDAY(B19,2)+4,,,"Voreinstellung_Übersicht"),TRUE))</f>
        <v>0</v>
      </c>
      <c r="AA19" s="300">
        <f t="shared" ca="1" si="40"/>
        <v>0</v>
      </c>
      <c r="AB19" s="219">
        <f t="shared" si="12"/>
        <v>0</v>
      </c>
      <c r="AC19" s="219">
        <f t="shared" si="13"/>
        <v>0</v>
      </c>
      <c r="AD19" s="219">
        <f t="shared" si="14"/>
        <v>0</v>
      </c>
      <c r="AE19" s="219">
        <f t="shared" si="15"/>
        <v>0</v>
      </c>
      <c r="AF19" s="219">
        <f t="shared" si="16"/>
        <v>0</v>
      </c>
      <c r="AG19" s="219">
        <f t="shared" si="17"/>
        <v>0</v>
      </c>
      <c r="AH19" s="219">
        <f t="shared" si="18"/>
        <v>0</v>
      </c>
      <c r="AI19" s="219">
        <f t="shared" si="19"/>
        <v>0</v>
      </c>
      <c r="AJ19" s="219">
        <f t="shared" si="20"/>
        <v>0</v>
      </c>
      <c r="AK19" s="219">
        <f t="shared" si="21"/>
        <v>0</v>
      </c>
      <c r="AL19" s="219">
        <f t="shared" si="22"/>
        <v>0</v>
      </c>
      <c r="AM19" s="219">
        <f t="shared" si="23"/>
        <v>0</v>
      </c>
      <c r="AN19" s="301">
        <f t="shared" si="24"/>
        <v>0</v>
      </c>
      <c r="AO19" s="301">
        <f t="shared" si="25"/>
        <v>0</v>
      </c>
      <c r="AP19" s="301">
        <f t="shared" si="26"/>
        <v>0</v>
      </c>
      <c r="AQ19" s="301">
        <f t="shared" si="27"/>
        <v>0</v>
      </c>
      <c r="AR19" s="301">
        <f t="shared" si="28"/>
        <v>0</v>
      </c>
      <c r="AS19" s="301">
        <f t="shared" si="29"/>
        <v>0</v>
      </c>
      <c r="AT19" s="302">
        <f t="shared" si="30"/>
        <v>0</v>
      </c>
      <c r="AU19" s="302">
        <f t="shared" si="31"/>
        <v>0</v>
      </c>
      <c r="AV19" s="81">
        <f t="shared" si="32"/>
        <v>0</v>
      </c>
      <c r="AW19" s="82">
        <f t="shared" si="33"/>
        <v>0</v>
      </c>
      <c r="AX19" s="81">
        <f t="shared" si="34"/>
        <v>0</v>
      </c>
      <c r="AY19" s="83">
        <f t="shared" si="35"/>
        <v>0</v>
      </c>
      <c r="AZ19" s="83">
        <f t="shared" si="36"/>
        <v>0</v>
      </c>
      <c r="BA19" s="82">
        <f>IF(OR(B19=Feiertage!$A$16,B19=Feiertage!$A$19),U19*Zuschläge_24_31/100,IF(AZ19&gt;0,AZ19*Feiertag_mit/100,IF(AX19&gt;0,AX19*Zuschläge_Sa/100,IF(AY19&gt;0,AY19*Zuschlag_So/100,0))))</f>
        <v>0</v>
      </c>
      <c r="BB19" s="82">
        <f>IF(AND(B19&lt;&gt;0,G19=Voreinstellung_Übersicht!$D$41),IF(EG=1,W19*Über_klein/100,IF(EG=2,W19*Über_groß/100,"Fehler")),0)</f>
        <v>0</v>
      </c>
      <c r="BC19" s="299">
        <f t="shared" ca="1" si="41"/>
        <v>0</v>
      </c>
      <c r="BD19" s="219">
        <f t="shared" ca="1" si="37"/>
        <v>1</v>
      </c>
      <c r="BE19" s="303">
        <f ca="1">IF(B19="","",INDIRECT(ADDRESS(MATCH(B19,Soll_AZ,1)+MATCH("Arbeitszeit 1 ab",Voreinstellung_Übersicht!B:B,0)-1,4,,,"Voreinstellung_Übersicht"),TRUE))</f>
        <v>1.6666666666666665</v>
      </c>
      <c r="BF19" s="1">
        <f t="shared" si="42"/>
        <v>0</v>
      </c>
    </row>
    <row r="20" spans="1:58" x14ac:dyDescent="0.3">
      <c r="A20" s="218">
        <f t="shared" si="0"/>
        <v>3</v>
      </c>
      <c r="B20" s="47">
        <f t="shared" si="38"/>
        <v>42016</v>
      </c>
      <c r="C20" s="219">
        <f t="shared" si="1"/>
        <v>0</v>
      </c>
      <c r="D20" s="220" t="str">
        <f t="shared" si="2"/>
        <v/>
      </c>
      <c r="E20" s="298" t="str">
        <f t="shared" si="3"/>
        <v/>
      </c>
      <c r="F20" s="87">
        <f t="shared" si="4"/>
        <v>42016</v>
      </c>
      <c r="G20" s="147"/>
      <c r="H20" s="74"/>
      <c r="I20" s="75"/>
      <c r="J20" s="221">
        <f t="shared" si="5"/>
        <v>0</v>
      </c>
      <c r="K20" s="76"/>
      <c r="L20" s="221">
        <f t="shared" si="43"/>
        <v>0</v>
      </c>
      <c r="M20" s="74"/>
      <c r="N20" s="75"/>
      <c r="O20" s="221">
        <f t="shared" si="6"/>
        <v>0</v>
      </c>
      <c r="P20" s="76"/>
      <c r="Q20" s="221">
        <f t="shared" si="44"/>
        <v>0</v>
      </c>
      <c r="R20" s="221">
        <f t="shared" si="45"/>
        <v>0</v>
      </c>
      <c r="S20" s="221">
        <f t="shared" si="7"/>
        <v>0</v>
      </c>
      <c r="T20" s="79">
        <f t="shared" si="8"/>
        <v>0</v>
      </c>
      <c r="U20" s="79">
        <f t="shared" si="39"/>
        <v>0</v>
      </c>
      <c r="V20" s="80">
        <f t="shared" ca="1" si="9"/>
        <v>0</v>
      </c>
      <c r="W20" s="249" t="str">
        <f t="shared" ca="1" si="10"/>
        <v/>
      </c>
      <c r="X20" s="293"/>
      <c r="Y20" s="221">
        <f t="shared" si="11"/>
        <v>0</v>
      </c>
      <c r="Z20" s="299">
        <f ca="1">IF(B20="","",INDIRECT(ADDRESS(MATCH(B20,Soll_AZ,1)+MATCH("Arbeitszeit 1 ab",Voreinstellung_Übersicht!B:B,0)-1,WEEKDAY(B20,2)+4,,,"Voreinstellung_Übersicht"),TRUE))</f>
        <v>0</v>
      </c>
      <c r="AA20" s="300">
        <f t="shared" ca="1" si="40"/>
        <v>0</v>
      </c>
      <c r="AB20" s="219">
        <f t="shared" si="12"/>
        <v>0</v>
      </c>
      <c r="AC20" s="219">
        <f t="shared" si="13"/>
        <v>0</v>
      </c>
      <c r="AD20" s="219">
        <f t="shared" si="14"/>
        <v>0</v>
      </c>
      <c r="AE20" s="219">
        <f t="shared" si="15"/>
        <v>0</v>
      </c>
      <c r="AF20" s="219">
        <f t="shared" si="16"/>
        <v>0</v>
      </c>
      <c r="AG20" s="219">
        <f t="shared" si="17"/>
        <v>0</v>
      </c>
      <c r="AH20" s="219">
        <f t="shared" si="18"/>
        <v>0</v>
      </c>
      <c r="AI20" s="219">
        <f t="shared" si="19"/>
        <v>0</v>
      </c>
      <c r="AJ20" s="219">
        <f t="shared" si="20"/>
        <v>0</v>
      </c>
      <c r="AK20" s="219">
        <f t="shared" si="21"/>
        <v>0</v>
      </c>
      <c r="AL20" s="219">
        <f t="shared" si="22"/>
        <v>0</v>
      </c>
      <c r="AM20" s="219">
        <f t="shared" si="23"/>
        <v>0</v>
      </c>
      <c r="AN20" s="301">
        <f t="shared" si="24"/>
        <v>0</v>
      </c>
      <c r="AO20" s="301">
        <f t="shared" si="25"/>
        <v>0</v>
      </c>
      <c r="AP20" s="301">
        <f t="shared" si="26"/>
        <v>0</v>
      </c>
      <c r="AQ20" s="301">
        <f t="shared" si="27"/>
        <v>0</v>
      </c>
      <c r="AR20" s="301">
        <f t="shared" si="28"/>
        <v>0</v>
      </c>
      <c r="AS20" s="301">
        <f t="shared" si="29"/>
        <v>0</v>
      </c>
      <c r="AT20" s="302">
        <f t="shared" si="30"/>
        <v>0</v>
      </c>
      <c r="AU20" s="302">
        <f t="shared" si="31"/>
        <v>0</v>
      </c>
      <c r="AV20" s="81">
        <f t="shared" si="32"/>
        <v>0</v>
      </c>
      <c r="AW20" s="82">
        <f t="shared" si="33"/>
        <v>0</v>
      </c>
      <c r="AX20" s="81">
        <f t="shared" si="34"/>
        <v>0</v>
      </c>
      <c r="AY20" s="83">
        <f t="shared" si="35"/>
        <v>0</v>
      </c>
      <c r="AZ20" s="83">
        <f t="shared" si="36"/>
        <v>0</v>
      </c>
      <c r="BA20" s="82">
        <f>IF(OR(B20=Feiertage!$A$16,B20=Feiertage!$A$19),U20*Zuschläge_24_31/100,IF(AZ20&gt;0,AZ20*Feiertag_mit/100,IF(AX20&gt;0,AX20*Zuschläge_Sa/100,IF(AY20&gt;0,AY20*Zuschlag_So/100,0))))</f>
        <v>0</v>
      </c>
      <c r="BB20" s="82">
        <f>IF(AND(B20&lt;&gt;0,G20=Voreinstellung_Übersicht!$D$41),IF(EG=1,W20*Über_klein/100,IF(EG=2,W20*Über_groß/100,"Fehler")),0)</f>
        <v>0</v>
      </c>
      <c r="BC20" s="299">
        <f t="shared" ca="1" si="41"/>
        <v>0</v>
      </c>
      <c r="BD20" s="219">
        <f t="shared" ca="1" si="37"/>
        <v>1</v>
      </c>
      <c r="BE20" s="303">
        <f ca="1">IF(B20="","",INDIRECT(ADDRESS(MATCH(B20,Soll_AZ,1)+MATCH("Arbeitszeit 1 ab",Voreinstellung_Übersicht!B:B,0)-1,4,,,"Voreinstellung_Übersicht"),TRUE))</f>
        <v>1.6666666666666665</v>
      </c>
      <c r="BF20" s="1">
        <f t="shared" si="42"/>
        <v>0</v>
      </c>
    </row>
    <row r="21" spans="1:58" x14ac:dyDescent="0.3">
      <c r="A21" s="218">
        <f t="shared" si="0"/>
        <v>3</v>
      </c>
      <c r="B21" s="47">
        <f t="shared" si="38"/>
        <v>42017</v>
      </c>
      <c r="C21" s="219">
        <f t="shared" si="1"/>
        <v>1</v>
      </c>
      <c r="D21" s="220" t="str">
        <f t="shared" si="2"/>
        <v/>
      </c>
      <c r="E21" s="298" t="str">
        <f t="shared" si="3"/>
        <v/>
      </c>
      <c r="F21" s="87">
        <f t="shared" si="4"/>
        <v>42017</v>
      </c>
      <c r="G21" s="147"/>
      <c r="H21" s="74"/>
      <c r="I21" s="75"/>
      <c r="J21" s="221">
        <f t="shared" si="5"/>
        <v>0</v>
      </c>
      <c r="K21" s="76"/>
      <c r="L21" s="221">
        <f t="shared" si="43"/>
        <v>0</v>
      </c>
      <c r="M21" s="74"/>
      <c r="N21" s="75"/>
      <c r="O21" s="221">
        <f t="shared" si="6"/>
        <v>0</v>
      </c>
      <c r="P21" s="76"/>
      <c r="Q21" s="221">
        <f t="shared" si="44"/>
        <v>0</v>
      </c>
      <c r="R21" s="221">
        <f t="shared" si="45"/>
        <v>0</v>
      </c>
      <c r="S21" s="221">
        <f t="shared" si="7"/>
        <v>0</v>
      </c>
      <c r="T21" s="79">
        <f t="shared" si="8"/>
        <v>0</v>
      </c>
      <c r="U21" s="79">
        <f t="shared" si="39"/>
        <v>0</v>
      </c>
      <c r="V21" s="80">
        <f t="shared" ca="1" si="9"/>
        <v>0.33333333329999998</v>
      </c>
      <c r="W21" s="249" t="str">
        <f t="shared" ca="1" si="10"/>
        <v/>
      </c>
      <c r="X21" s="293"/>
      <c r="Y21" s="221">
        <f t="shared" si="11"/>
        <v>0</v>
      </c>
      <c r="Z21" s="299">
        <f ca="1">IF(B21="","",INDIRECT(ADDRESS(MATCH(B21,Soll_AZ,1)+MATCH("Arbeitszeit 1 ab",Voreinstellung_Übersicht!B:B,0)-1,WEEKDAY(B21,2)+4,,,"Voreinstellung_Übersicht"),TRUE))</f>
        <v>0.33333333333333331</v>
      </c>
      <c r="AA21" s="300">
        <f t="shared" ca="1" si="40"/>
        <v>0</v>
      </c>
      <c r="AB21" s="219">
        <f t="shared" si="12"/>
        <v>0</v>
      </c>
      <c r="AC21" s="219">
        <f t="shared" si="13"/>
        <v>0</v>
      </c>
      <c r="AD21" s="219">
        <f t="shared" si="14"/>
        <v>0</v>
      </c>
      <c r="AE21" s="219">
        <f t="shared" si="15"/>
        <v>0</v>
      </c>
      <c r="AF21" s="219">
        <f t="shared" si="16"/>
        <v>0</v>
      </c>
      <c r="AG21" s="219">
        <f t="shared" si="17"/>
        <v>0</v>
      </c>
      <c r="AH21" s="219">
        <f t="shared" si="18"/>
        <v>0</v>
      </c>
      <c r="AI21" s="219">
        <f t="shared" si="19"/>
        <v>0</v>
      </c>
      <c r="AJ21" s="219">
        <f t="shared" si="20"/>
        <v>0</v>
      </c>
      <c r="AK21" s="219">
        <f t="shared" si="21"/>
        <v>0</v>
      </c>
      <c r="AL21" s="219">
        <f t="shared" si="22"/>
        <v>0</v>
      </c>
      <c r="AM21" s="219">
        <f t="shared" si="23"/>
        <v>0</v>
      </c>
      <c r="AN21" s="301">
        <f t="shared" si="24"/>
        <v>0</v>
      </c>
      <c r="AO21" s="301">
        <f t="shared" si="25"/>
        <v>0</v>
      </c>
      <c r="AP21" s="301">
        <f t="shared" si="26"/>
        <v>0</v>
      </c>
      <c r="AQ21" s="301">
        <f t="shared" si="27"/>
        <v>0</v>
      </c>
      <c r="AR21" s="301">
        <f t="shared" si="28"/>
        <v>0</v>
      </c>
      <c r="AS21" s="301">
        <f t="shared" si="29"/>
        <v>0</v>
      </c>
      <c r="AT21" s="302">
        <f t="shared" si="30"/>
        <v>0</v>
      </c>
      <c r="AU21" s="302">
        <f t="shared" si="31"/>
        <v>0</v>
      </c>
      <c r="AV21" s="81">
        <f t="shared" si="32"/>
        <v>0</v>
      </c>
      <c r="AW21" s="82">
        <f t="shared" si="33"/>
        <v>0</v>
      </c>
      <c r="AX21" s="81">
        <f t="shared" si="34"/>
        <v>0</v>
      </c>
      <c r="AY21" s="83">
        <f t="shared" si="35"/>
        <v>0</v>
      </c>
      <c r="AZ21" s="83">
        <f t="shared" si="36"/>
        <v>0</v>
      </c>
      <c r="BA21" s="82">
        <f>IF(OR(B21=Feiertage!$A$16,B21=Feiertage!$A$19),U21*Zuschläge_24_31/100,IF(AZ21&gt;0,AZ21*Feiertag_mit/100,IF(AX21&gt;0,AX21*Zuschläge_Sa/100,IF(AY21&gt;0,AY21*Zuschlag_So/100,0))))</f>
        <v>0</v>
      </c>
      <c r="BB21" s="82">
        <f>IF(AND(B21&lt;&gt;0,G21=Voreinstellung_Übersicht!$D$41),IF(EG=1,W21*Über_klein/100,IF(EG=2,W21*Über_groß/100,"Fehler")),0)</f>
        <v>0</v>
      </c>
      <c r="BC21" s="299">
        <f t="shared" ca="1" si="41"/>
        <v>0</v>
      </c>
      <c r="BD21" s="219">
        <f t="shared" ca="1" si="37"/>
        <v>1</v>
      </c>
      <c r="BE21" s="303">
        <f ca="1">IF(B21="","",INDIRECT(ADDRESS(MATCH(B21,Soll_AZ,1)+MATCH("Arbeitszeit 1 ab",Voreinstellung_Übersicht!B:B,0)-1,4,,,"Voreinstellung_Übersicht"),TRUE))</f>
        <v>1.6666666666666665</v>
      </c>
      <c r="BF21" s="1">
        <f t="shared" si="42"/>
        <v>0</v>
      </c>
    </row>
    <row r="22" spans="1:58" x14ac:dyDescent="0.3">
      <c r="A22" s="218">
        <f t="shared" si="0"/>
        <v>3</v>
      </c>
      <c r="B22" s="47">
        <f t="shared" si="38"/>
        <v>42018</v>
      </c>
      <c r="C22" s="219">
        <f t="shared" si="1"/>
        <v>1</v>
      </c>
      <c r="D22" s="220" t="str">
        <f t="shared" si="2"/>
        <v/>
      </c>
      <c r="E22" s="298" t="str">
        <f t="shared" si="3"/>
        <v/>
      </c>
      <c r="F22" s="87">
        <f t="shared" si="4"/>
        <v>42018</v>
      </c>
      <c r="G22" s="147"/>
      <c r="H22" s="74"/>
      <c r="I22" s="75"/>
      <c r="J22" s="221">
        <f t="shared" si="5"/>
        <v>0</v>
      </c>
      <c r="K22" s="76"/>
      <c r="L22" s="221">
        <f t="shared" si="43"/>
        <v>0</v>
      </c>
      <c r="M22" s="74"/>
      <c r="N22" s="75"/>
      <c r="O22" s="221">
        <f t="shared" si="6"/>
        <v>0</v>
      </c>
      <c r="P22" s="76"/>
      <c r="Q22" s="221">
        <f t="shared" si="44"/>
        <v>0</v>
      </c>
      <c r="R22" s="221">
        <f t="shared" si="45"/>
        <v>0</v>
      </c>
      <c r="S22" s="221">
        <f t="shared" si="7"/>
        <v>0</v>
      </c>
      <c r="T22" s="79">
        <f t="shared" si="8"/>
        <v>0</v>
      </c>
      <c r="U22" s="79">
        <f t="shared" si="39"/>
        <v>0</v>
      </c>
      <c r="V22" s="80">
        <f t="shared" ca="1" si="9"/>
        <v>0.33333333329999998</v>
      </c>
      <c r="W22" s="249" t="str">
        <f t="shared" ca="1" si="10"/>
        <v/>
      </c>
      <c r="X22" s="293"/>
      <c r="Y22" s="221">
        <f t="shared" si="11"/>
        <v>0</v>
      </c>
      <c r="Z22" s="299">
        <f ca="1">IF(B22="","",INDIRECT(ADDRESS(MATCH(B22,Soll_AZ,1)+MATCH("Arbeitszeit 1 ab",Voreinstellung_Übersicht!B:B,0)-1,WEEKDAY(B22,2)+4,,,"Voreinstellung_Übersicht"),TRUE))</f>
        <v>0.33333333333333331</v>
      </c>
      <c r="AA22" s="300">
        <f t="shared" ca="1" si="40"/>
        <v>0</v>
      </c>
      <c r="AB22" s="219">
        <f t="shared" si="12"/>
        <v>0</v>
      </c>
      <c r="AC22" s="219">
        <f t="shared" si="13"/>
        <v>0</v>
      </c>
      <c r="AD22" s="219">
        <f t="shared" si="14"/>
        <v>0</v>
      </c>
      <c r="AE22" s="219">
        <f t="shared" si="15"/>
        <v>0</v>
      </c>
      <c r="AF22" s="219">
        <f t="shared" si="16"/>
        <v>0</v>
      </c>
      <c r="AG22" s="219">
        <f t="shared" si="17"/>
        <v>0</v>
      </c>
      <c r="AH22" s="219">
        <f t="shared" si="18"/>
        <v>0</v>
      </c>
      <c r="AI22" s="219">
        <f t="shared" si="19"/>
        <v>0</v>
      </c>
      <c r="AJ22" s="219">
        <f t="shared" si="20"/>
        <v>0</v>
      </c>
      <c r="AK22" s="219">
        <f t="shared" si="21"/>
        <v>0</v>
      </c>
      <c r="AL22" s="219">
        <f t="shared" si="22"/>
        <v>0</v>
      </c>
      <c r="AM22" s="219">
        <f t="shared" si="23"/>
        <v>0</v>
      </c>
      <c r="AN22" s="301">
        <f t="shared" si="24"/>
        <v>0</v>
      </c>
      <c r="AO22" s="301">
        <f t="shared" si="25"/>
        <v>0</v>
      </c>
      <c r="AP22" s="301">
        <f t="shared" si="26"/>
        <v>0</v>
      </c>
      <c r="AQ22" s="301">
        <f t="shared" si="27"/>
        <v>0</v>
      </c>
      <c r="AR22" s="301">
        <f t="shared" si="28"/>
        <v>0</v>
      </c>
      <c r="AS22" s="301">
        <f t="shared" si="29"/>
        <v>0</v>
      </c>
      <c r="AT22" s="302">
        <f t="shared" si="30"/>
        <v>0</v>
      </c>
      <c r="AU22" s="302">
        <f t="shared" si="31"/>
        <v>0</v>
      </c>
      <c r="AV22" s="81">
        <f t="shared" si="32"/>
        <v>0</v>
      </c>
      <c r="AW22" s="82">
        <f t="shared" si="33"/>
        <v>0</v>
      </c>
      <c r="AX22" s="81">
        <f t="shared" si="34"/>
        <v>0</v>
      </c>
      <c r="AY22" s="83">
        <f t="shared" si="35"/>
        <v>0</v>
      </c>
      <c r="AZ22" s="83">
        <f t="shared" si="36"/>
        <v>0</v>
      </c>
      <c r="BA22" s="82">
        <f>IF(OR(B22=Feiertage!$A$16,B22=Feiertage!$A$19),U22*Zuschläge_24_31/100,IF(AZ22&gt;0,AZ22*Feiertag_mit/100,IF(AX22&gt;0,AX22*Zuschläge_Sa/100,IF(AY22&gt;0,AY22*Zuschlag_So/100,0))))</f>
        <v>0</v>
      </c>
      <c r="BB22" s="82">
        <f>IF(AND(B22&lt;&gt;0,G22=Voreinstellung_Übersicht!$D$41),IF(EG=1,W22*Über_klein/100,IF(EG=2,W22*Über_groß/100,"Fehler")),0)</f>
        <v>0</v>
      </c>
      <c r="BC22" s="299">
        <f t="shared" ca="1" si="41"/>
        <v>0</v>
      </c>
      <c r="BD22" s="219">
        <f t="shared" ca="1" si="37"/>
        <v>1</v>
      </c>
      <c r="BE22" s="303">
        <f ca="1">IF(B22="","",INDIRECT(ADDRESS(MATCH(B22,Soll_AZ,1)+MATCH("Arbeitszeit 1 ab",Voreinstellung_Übersicht!B:B,0)-1,4,,,"Voreinstellung_Übersicht"),TRUE))</f>
        <v>1.6666666666666665</v>
      </c>
      <c r="BF22" s="1">
        <f t="shared" si="42"/>
        <v>0</v>
      </c>
    </row>
    <row r="23" spans="1:58" x14ac:dyDescent="0.3">
      <c r="A23" s="218">
        <f t="shared" si="0"/>
        <v>3</v>
      </c>
      <c r="B23" s="47">
        <f t="shared" si="38"/>
        <v>42019</v>
      </c>
      <c r="C23" s="219">
        <f t="shared" si="1"/>
        <v>1</v>
      </c>
      <c r="D23" s="220" t="str">
        <f t="shared" si="2"/>
        <v/>
      </c>
      <c r="E23" s="298" t="str">
        <f t="shared" si="3"/>
        <v/>
      </c>
      <c r="F23" s="87">
        <f t="shared" si="4"/>
        <v>42019</v>
      </c>
      <c r="G23" s="147"/>
      <c r="H23" s="74"/>
      <c r="I23" s="75"/>
      <c r="J23" s="221">
        <f t="shared" si="5"/>
        <v>0</v>
      </c>
      <c r="K23" s="76"/>
      <c r="L23" s="221">
        <f t="shared" si="43"/>
        <v>0</v>
      </c>
      <c r="M23" s="74"/>
      <c r="N23" s="75"/>
      <c r="O23" s="221">
        <f t="shared" si="6"/>
        <v>0</v>
      </c>
      <c r="P23" s="76"/>
      <c r="Q23" s="221">
        <f t="shared" si="44"/>
        <v>0</v>
      </c>
      <c r="R23" s="221">
        <f t="shared" si="45"/>
        <v>0</v>
      </c>
      <c r="S23" s="221">
        <f t="shared" si="7"/>
        <v>0</v>
      </c>
      <c r="T23" s="79">
        <f t="shared" si="8"/>
        <v>0</v>
      </c>
      <c r="U23" s="79">
        <f t="shared" si="39"/>
        <v>0</v>
      </c>
      <c r="V23" s="80">
        <f t="shared" ca="1" si="9"/>
        <v>0.33333333329999998</v>
      </c>
      <c r="W23" s="249" t="str">
        <f t="shared" ca="1" si="10"/>
        <v/>
      </c>
      <c r="X23" s="293"/>
      <c r="Y23" s="221">
        <f t="shared" si="11"/>
        <v>0</v>
      </c>
      <c r="Z23" s="299">
        <f ca="1">IF(B23="","",INDIRECT(ADDRESS(MATCH(B23,Soll_AZ,1)+MATCH("Arbeitszeit 1 ab",Voreinstellung_Übersicht!B:B,0)-1,WEEKDAY(B23,2)+4,,,"Voreinstellung_Übersicht"),TRUE))</f>
        <v>0.33333333333333331</v>
      </c>
      <c r="AA23" s="300">
        <f t="shared" ca="1" si="40"/>
        <v>0</v>
      </c>
      <c r="AB23" s="219">
        <f t="shared" si="12"/>
        <v>0</v>
      </c>
      <c r="AC23" s="219">
        <f t="shared" si="13"/>
        <v>0</v>
      </c>
      <c r="AD23" s="219">
        <f t="shared" si="14"/>
        <v>0</v>
      </c>
      <c r="AE23" s="219">
        <f t="shared" si="15"/>
        <v>0</v>
      </c>
      <c r="AF23" s="219">
        <f t="shared" si="16"/>
        <v>0</v>
      </c>
      <c r="AG23" s="219">
        <f t="shared" si="17"/>
        <v>0</v>
      </c>
      <c r="AH23" s="219">
        <f t="shared" si="18"/>
        <v>0</v>
      </c>
      <c r="AI23" s="219">
        <f t="shared" si="19"/>
        <v>0</v>
      </c>
      <c r="AJ23" s="219">
        <f t="shared" si="20"/>
        <v>0</v>
      </c>
      <c r="AK23" s="219">
        <f t="shared" si="21"/>
        <v>0</v>
      </c>
      <c r="AL23" s="219">
        <f t="shared" si="22"/>
        <v>0</v>
      </c>
      <c r="AM23" s="219">
        <f t="shared" si="23"/>
        <v>0</v>
      </c>
      <c r="AN23" s="301">
        <f t="shared" si="24"/>
        <v>0</v>
      </c>
      <c r="AO23" s="301">
        <f t="shared" si="25"/>
        <v>0</v>
      </c>
      <c r="AP23" s="301">
        <f t="shared" si="26"/>
        <v>0</v>
      </c>
      <c r="AQ23" s="301">
        <f t="shared" si="27"/>
        <v>0</v>
      </c>
      <c r="AR23" s="301">
        <f t="shared" si="28"/>
        <v>0</v>
      </c>
      <c r="AS23" s="301">
        <f t="shared" si="29"/>
        <v>0</v>
      </c>
      <c r="AT23" s="302">
        <f t="shared" si="30"/>
        <v>0</v>
      </c>
      <c r="AU23" s="302">
        <f t="shared" si="31"/>
        <v>0</v>
      </c>
      <c r="AV23" s="81">
        <f t="shared" si="32"/>
        <v>0</v>
      </c>
      <c r="AW23" s="82">
        <f t="shared" si="33"/>
        <v>0</v>
      </c>
      <c r="AX23" s="81">
        <f t="shared" si="34"/>
        <v>0</v>
      </c>
      <c r="AY23" s="83">
        <f t="shared" si="35"/>
        <v>0</v>
      </c>
      <c r="AZ23" s="83">
        <f t="shared" si="36"/>
        <v>0</v>
      </c>
      <c r="BA23" s="82">
        <f>IF(OR(B23=Feiertage!$A$16,B23=Feiertage!$A$19),U23*Zuschläge_24_31/100,IF(AZ23&gt;0,AZ23*Feiertag_mit/100,IF(AX23&gt;0,AX23*Zuschläge_Sa/100,IF(AY23&gt;0,AY23*Zuschlag_So/100,0))))</f>
        <v>0</v>
      </c>
      <c r="BB23" s="82">
        <f>IF(AND(B23&lt;&gt;0,G23=Voreinstellung_Übersicht!$D$41),IF(EG=1,W23*Über_klein/100,IF(EG=2,W23*Über_groß/100,"Fehler")),0)</f>
        <v>0</v>
      </c>
      <c r="BC23" s="299">
        <f t="shared" ca="1" si="41"/>
        <v>0</v>
      </c>
      <c r="BD23" s="219">
        <f t="shared" ca="1" si="37"/>
        <v>1</v>
      </c>
      <c r="BE23" s="303">
        <f ca="1">IF(B23="","",INDIRECT(ADDRESS(MATCH(B23,Soll_AZ,1)+MATCH("Arbeitszeit 1 ab",Voreinstellung_Übersicht!B:B,0)-1,4,,,"Voreinstellung_Übersicht"),TRUE))</f>
        <v>1.6666666666666665</v>
      </c>
      <c r="BF23" s="1">
        <f t="shared" si="42"/>
        <v>0</v>
      </c>
    </row>
    <row r="24" spans="1:58" x14ac:dyDescent="0.3">
      <c r="A24" s="218">
        <f t="shared" si="0"/>
        <v>3</v>
      </c>
      <c r="B24" s="47">
        <f t="shared" si="38"/>
        <v>42020</v>
      </c>
      <c r="C24" s="219">
        <f t="shared" si="1"/>
        <v>1</v>
      </c>
      <c r="D24" s="220" t="str">
        <f t="shared" si="2"/>
        <v/>
      </c>
      <c r="E24" s="298" t="str">
        <f t="shared" si="3"/>
        <v/>
      </c>
      <c r="F24" s="87">
        <f t="shared" si="4"/>
        <v>42020</v>
      </c>
      <c r="G24" s="147"/>
      <c r="H24" s="74"/>
      <c r="I24" s="75"/>
      <c r="J24" s="221">
        <f t="shared" si="5"/>
        <v>0</v>
      </c>
      <c r="K24" s="76"/>
      <c r="L24" s="221">
        <f t="shared" si="43"/>
        <v>0</v>
      </c>
      <c r="M24" s="74"/>
      <c r="N24" s="75"/>
      <c r="O24" s="221">
        <f t="shared" si="6"/>
        <v>0</v>
      </c>
      <c r="P24" s="76"/>
      <c r="Q24" s="221">
        <f t="shared" si="44"/>
        <v>0</v>
      </c>
      <c r="R24" s="221">
        <f t="shared" si="45"/>
        <v>0</v>
      </c>
      <c r="S24" s="221">
        <f t="shared" si="7"/>
        <v>0</v>
      </c>
      <c r="T24" s="79">
        <f t="shared" si="8"/>
        <v>0</v>
      </c>
      <c r="U24" s="79">
        <f t="shared" si="39"/>
        <v>0</v>
      </c>
      <c r="V24" s="80">
        <f t="shared" ca="1" si="9"/>
        <v>0.33333333329999998</v>
      </c>
      <c r="W24" s="249" t="str">
        <f t="shared" ca="1" si="10"/>
        <v/>
      </c>
      <c r="X24" s="293"/>
      <c r="Y24" s="221">
        <f t="shared" si="11"/>
        <v>0</v>
      </c>
      <c r="Z24" s="299">
        <f ca="1">IF(B24="","",INDIRECT(ADDRESS(MATCH(B24,Soll_AZ,1)+MATCH("Arbeitszeit 1 ab",Voreinstellung_Übersicht!B:B,0)-1,WEEKDAY(B24,2)+4,,,"Voreinstellung_Übersicht"),TRUE))</f>
        <v>0.33333333333333331</v>
      </c>
      <c r="AA24" s="300">
        <f t="shared" ca="1" si="40"/>
        <v>0</v>
      </c>
      <c r="AB24" s="219">
        <f t="shared" si="12"/>
        <v>0</v>
      </c>
      <c r="AC24" s="219">
        <f t="shared" si="13"/>
        <v>0</v>
      </c>
      <c r="AD24" s="219">
        <f t="shared" si="14"/>
        <v>0</v>
      </c>
      <c r="AE24" s="219">
        <f t="shared" si="15"/>
        <v>0</v>
      </c>
      <c r="AF24" s="219">
        <f t="shared" si="16"/>
        <v>0</v>
      </c>
      <c r="AG24" s="219">
        <f t="shared" si="17"/>
        <v>0</v>
      </c>
      <c r="AH24" s="219">
        <f t="shared" si="18"/>
        <v>0</v>
      </c>
      <c r="AI24" s="219">
        <f t="shared" si="19"/>
        <v>0</v>
      </c>
      <c r="AJ24" s="219">
        <f t="shared" si="20"/>
        <v>0</v>
      </c>
      <c r="AK24" s="219">
        <f t="shared" si="21"/>
        <v>0</v>
      </c>
      <c r="AL24" s="219">
        <f t="shared" si="22"/>
        <v>0</v>
      </c>
      <c r="AM24" s="219">
        <f t="shared" si="23"/>
        <v>0</v>
      </c>
      <c r="AN24" s="301">
        <f t="shared" si="24"/>
        <v>0</v>
      </c>
      <c r="AO24" s="301">
        <f t="shared" si="25"/>
        <v>0</v>
      </c>
      <c r="AP24" s="301">
        <f t="shared" si="26"/>
        <v>0</v>
      </c>
      <c r="AQ24" s="301">
        <f t="shared" si="27"/>
        <v>0</v>
      </c>
      <c r="AR24" s="301">
        <f t="shared" si="28"/>
        <v>0</v>
      </c>
      <c r="AS24" s="301">
        <f t="shared" si="29"/>
        <v>0</v>
      </c>
      <c r="AT24" s="302">
        <f t="shared" si="30"/>
        <v>0</v>
      </c>
      <c r="AU24" s="302">
        <f t="shared" si="31"/>
        <v>0</v>
      </c>
      <c r="AV24" s="81">
        <f t="shared" si="32"/>
        <v>0</v>
      </c>
      <c r="AW24" s="82">
        <f t="shared" si="33"/>
        <v>0</v>
      </c>
      <c r="AX24" s="81">
        <f t="shared" si="34"/>
        <v>0</v>
      </c>
      <c r="AY24" s="83">
        <f t="shared" si="35"/>
        <v>0</v>
      </c>
      <c r="AZ24" s="83">
        <f t="shared" si="36"/>
        <v>0</v>
      </c>
      <c r="BA24" s="82">
        <f>IF(OR(B24=Feiertage!$A$16,B24=Feiertage!$A$19),U24*Zuschläge_24_31/100,IF(AZ24&gt;0,AZ24*Feiertag_mit/100,IF(AX24&gt;0,AX24*Zuschläge_Sa/100,IF(AY24&gt;0,AY24*Zuschlag_So/100,0))))</f>
        <v>0</v>
      </c>
      <c r="BB24" s="82">
        <f>IF(AND(B24&lt;&gt;0,G24=Voreinstellung_Übersicht!$D$41),IF(EG=1,W24*Über_klein/100,IF(EG=2,W24*Über_groß/100,"Fehler")),0)</f>
        <v>0</v>
      </c>
      <c r="BC24" s="299">
        <f t="shared" ca="1" si="41"/>
        <v>0</v>
      </c>
      <c r="BD24" s="219">
        <f t="shared" ca="1" si="37"/>
        <v>1</v>
      </c>
      <c r="BE24" s="303">
        <f ca="1">IF(B24="","",INDIRECT(ADDRESS(MATCH(B24,Soll_AZ,1)+MATCH("Arbeitszeit 1 ab",Voreinstellung_Übersicht!B:B,0)-1,4,,,"Voreinstellung_Übersicht"),TRUE))</f>
        <v>1.6666666666666665</v>
      </c>
      <c r="BF24" s="1">
        <f t="shared" si="42"/>
        <v>0</v>
      </c>
    </row>
    <row r="25" spans="1:58" x14ac:dyDescent="0.3">
      <c r="A25" s="218">
        <f t="shared" si="0"/>
        <v>3</v>
      </c>
      <c r="B25" s="47">
        <f t="shared" si="38"/>
        <v>42021</v>
      </c>
      <c r="C25" s="219">
        <f t="shared" si="1"/>
        <v>1</v>
      </c>
      <c r="D25" s="220" t="str">
        <f t="shared" si="2"/>
        <v/>
      </c>
      <c r="E25" s="298" t="str">
        <f t="shared" si="3"/>
        <v/>
      </c>
      <c r="F25" s="87">
        <f t="shared" si="4"/>
        <v>42021</v>
      </c>
      <c r="G25" s="147"/>
      <c r="H25" s="74"/>
      <c r="I25" s="75"/>
      <c r="J25" s="221">
        <f t="shared" si="5"/>
        <v>0</v>
      </c>
      <c r="K25" s="76"/>
      <c r="L25" s="221">
        <f t="shared" si="43"/>
        <v>0</v>
      </c>
      <c r="M25" s="74"/>
      <c r="N25" s="75"/>
      <c r="O25" s="221">
        <f t="shared" si="6"/>
        <v>0</v>
      </c>
      <c r="P25" s="76"/>
      <c r="Q25" s="221">
        <f t="shared" si="44"/>
        <v>0</v>
      </c>
      <c r="R25" s="221">
        <f t="shared" si="45"/>
        <v>0</v>
      </c>
      <c r="S25" s="221">
        <f t="shared" si="7"/>
        <v>0</v>
      </c>
      <c r="T25" s="79">
        <f t="shared" si="8"/>
        <v>0</v>
      </c>
      <c r="U25" s="79">
        <f t="shared" si="39"/>
        <v>0</v>
      </c>
      <c r="V25" s="80">
        <f t="shared" ca="1" si="9"/>
        <v>0.33333333329999998</v>
      </c>
      <c r="W25" s="249" t="str">
        <f t="shared" ca="1" si="10"/>
        <v/>
      </c>
      <c r="X25" s="293"/>
      <c r="Y25" s="221">
        <f t="shared" si="11"/>
        <v>0</v>
      </c>
      <c r="Z25" s="299">
        <f ca="1">IF(B25="","",INDIRECT(ADDRESS(MATCH(B25,Soll_AZ,1)+MATCH("Arbeitszeit 1 ab",Voreinstellung_Übersicht!B:B,0)-1,WEEKDAY(B25,2)+4,,,"Voreinstellung_Übersicht"),TRUE))</f>
        <v>0.33333333333333331</v>
      </c>
      <c r="AA25" s="300">
        <f t="shared" ca="1" si="40"/>
        <v>0</v>
      </c>
      <c r="AB25" s="219">
        <f t="shared" si="12"/>
        <v>0</v>
      </c>
      <c r="AC25" s="219">
        <f t="shared" si="13"/>
        <v>0</v>
      </c>
      <c r="AD25" s="219">
        <f t="shared" si="14"/>
        <v>0</v>
      </c>
      <c r="AE25" s="219">
        <f t="shared" si="15"/>
        <v>0</v>
      </c>
      <c r="AF25" s="219">
        <f t="shared" si="16"/>
        <v>0</v>
      </c>
      <c r="AG25" s="219">
        <f t="shared" si="17"/>
        <v>0</v>
      </c>
      <c r="AH25" s="219">
        <f t="shared" si="18"/>
        <v>0</v>
      </c>
      <c r="AI25" s="219">
        <f t="shared" si="19"/>
        <v>0</v>
      </c>
      <c r="AJ25" s="219">
        <f t="shared" si="20"/>
        <v>0</v>
      </c>
      <c r="AK25" s="219">
        <f t="shared" si="21"/>
        <v>0</v>
      </c>
      <c r="AL25" s="219">
        <f t="shared" si="22"/>
        <v>0</v>
      </c>
      <c r="AM25" s="219">
        <f t="shared" si="23"/>
        <v>0</v>
      </c>
      <c r="AN25" s="301">
        <f t="shared" si="24"/>
        <v>0</v>
      </c>
      <c r="AO25" s="301">
        <f t="shared" si="25"/>
        <v>0</v>
      </c>
      <c r="AP25" s="301">
        <f t="shared" si="26"/>
        <v>0</v>
      </c>
      <c r="AQ25" s="301">
        <f t="shared" si="27"/>
        <v>0</v>
      </c>
      <c r="AR25" s="301">
        <f t="shared" si="28"/>
        <v>0</v>
      </c>
      <c r="AS25" s="301">
        <f t="shared" si="29"/>
        <v>0</v>
      </c>
      <c r="AT25" s="302">
        <f t="shared" si="30"/>
        <v>0</v>
      </c>
      <c r="AU25" s="302">
        <f t="shared" si="31"/>
        <v>0</v>
      </c>
      <c r="AV25" s="81">
        <f t="shared" si="32"/>
        <v>0</v>
      </c>
      <c r="AW25" s="82">
        <f t="shared" si="33"/>
        <v>0</v>
      </c>
      <c r="AX25" s="81">
        <f t="shared" si="34"/>
        <v>0</v>
      </c>
      <c r="AY25" s="83">
        <f t="shared" si="35"/>
        <v>0</v>
      </c>
      <c r="AZ25" s="83">
        <f t="shared" si="36"/>
        <v>0</v>
      </c>
      <c r="BA25" s="82">
        <f>IF(OR(B25=Feiertage!$A$16,B25=Feiertage!$A$19),U25*Zuschläge_24_31/100,IF(AZ25&gt;0,AZ25*Feiertag_mit/100,IF(AX25&gt;0,AX25*Zuschläge_Sa/100,IF(AY25&gt;0,AY25*Zuschlag_So/100,0))))</f>
        <v>0</v>
      </c>
      <c r="BB25" s="82">
        <f>IF(AND(B25&lt;&gt;0,G25=Voreinstellung_Übersicht!$D$41),IF(EG=1,W25*Über_klein/100,IF(EG=2,W25*Über_groß/100,"Fehler")),0)</f>
        <v>0</v>
      </c>
      <c r="BC25" s="299">
        <f t="shared" ca="1" si="41"/>
        <v>0</v>
      </c>
      <c r="BD25" s="219">
        <f t="shared" ca="1" si="37"/>
        <v>1</v>
      </c>
      <c r="BE25" s="303">
        <f ca="1">IF(B25="","",INDIRECT(ADDRESS(MATCH(B25,Soll_AZ,1)+MATCH("Arbeitszeit 1 ab",Voreinstellung_Übersicht!B:B,0)-1,4,,,"Voreinstellung_Übersicht"),TRUE))</f>
        <v>1.6666666666666665</v>
      </c>
      <c r="BF25" s="1">
        <f t="shared" si="42"/>
        <v>0</v>
      </c>
    </row>
    <row r="26" spans="1:58" x14ac:dyDescent="0.3">
      <c r="A26" s="218">
        <f t="shared" si="0"/>
        <v>3</v>
      </c>
      <c r="B26" s="47">
        <f t="shared" si="38"/>
        <v>42022</v>
      </c>
      <c r="C26" s="219">
        <f t="shared" si="1"/>
        <v>0</v>
      </c>
      <c r="D26" s="220" t="str">
        <f t="shared" si="2"/>
        <v/>
      </c>
      <c r="E26" s="298" t="str">
        <f t="shared" si="3"/>
        <v/>
      </c>
      <c r="F26" s="87">
        <f t="shared" si="4"/>
        <v>42022</v>
      </c>
      <c r="G26" s="147"/>
      <c r="H26" s="74"/>
      <c r="I26" s="75"/>
      <c r="J26" s="221">
        <f t="shared" si="5"/>
        <v>0</v>
      </c>
      <c r="K26" s="76"/>
      <c r="L26" s="221">
        <f t="shared" si="43"/>
        <v>0</v>
      </c>
      <c r="M26" s="74"/>
      <c r="N26" s="75"/>
      <c r="O26" s="221">
        <f t="shared" si="6"/>
        <v>0</v>
      </c>
      <c r="P26" s="76"/>
      <c r="Q26" s="221">
        <f t="shared" si="44"/>
        <v>0</v>
      </c>
      <c r="R26" s="221">
        <f t="shared" si="45"/>
        <v>0</v>
      </c>
      <c r="S26" s="221">
        <f t="shared" si="7"/>
        <v>0</v>
      </c>
      <c r="T26" s="79">
        <f t="shared" si="8"/>
        <v>0</v>
      </c>
      <c r="U26" s="79">
        <f t="shared" si="39"/>
        <v>0</v>
      </c>
      <c r="V26" s="80">
        <f t="shared" ca="1" si="9"/>
        <v>0</v>
      </c>
      <c r="W26" s="249" t="str">
        <f t="shared" ca="1" si="10"/>
        <v/>
      </c>
      <c r="X26" s="293"/>
      <c r="Y26" s="221">
        <f t="shared" si="11"/>
        <v>0</v>
      </c>
      <c r="Z26" s="299">
        <f ca="1">IF(B26="","",INDIRECT(ADDRESS(MATCH(B26,Soll_AZ,1)+MATCH("Arbeitszeit 1 ab",Voreinstellung_Übersicht!B:B,0)-1,WEEKDAY(B26,2)+4,,,"Voreinstellung_Übersicht"),TRUE))</f>
        <v>0</v>
      </c>
      <c r="AA26" s="300">
        <f t="shared" ca="1" si="40"/>
        <v>0</v>
      </c>
      <c r="AB26" s="219">
        <f t="shared" si="12"/>
        <v>0</v>
      </c>
      <c r="AC26" s="219">
        <f t="shared" si="13"/>
        <v>0</v>
      </c>
      <c r="AD26" s="219">
        <f t="shared" si="14"/>
        <v>0</v>
      </c>
      <c r="AE26" s="219">
        <f t="shared" si="15"/>
        <v>0</v>
      </c>
      <c r="AF26" s="219">
        <f t="shared" si="16"/>
        <v>0</v>
      </c>
      <c r="AG26" s="219">
        <f t="shared" si="17"/>
        <v>0</v>
      </c>
      <c r="AH26" s="219">
        <f t="shared" si="18"/>
        <v>0</v>
      </c>
      <c r="AI26" s="219">
        <f t="shared" si="19"/>
        <v>0</v>
      </c>
      <c r="AJ26" s="219">
        <f t="shared" si="20"/>
        <v>0</v>
      </c>
      <c r="AK26" s="219">
        <f t="shared" si="21"/>
        <v>0</v>
      </c>
      <c r="AL26" s="219">
        <f t="shared" si="22"/>
        <v>0</v>
      </c>
      <c r="AM26" s="219">
        <f t="shared" si="23"/>
        <v>0</v>
      </c>
      <c r="AN26" s="301">
        <f t="shared" si="24"/>
        <v>0</v>
      </c>
      <c r="AO26" s="301">
        <f t="shared" si="25"/>
        <v>0</v>
      </c>
      <c r="AP26" s="301">
        <f t="shared" si="26"/>
        <v>0</v>
      </c>
      <c r="AQ26" s="301">
        <f t="shared" si="27"/>
        <v>0</v>
      </c>
      <c r="AR26" s="301">
        <f t="shared" si="28"/>
        <v>0</v>
      </c>
      <c r="AS26" s="301">
        <f t="shared" si="29"/>
        <v>0</v>
      </c>
      <c r="AT26" s="302">
        <f t="shared" si="30"/>
        <v>0</v>
      </c>
      <c r="AU26" s="302">
        <f t="shared" si="31"/>
        <v>0</v>
      </c>
      <c r="AV26" s="81">
        <f t="shared" si="32"/>
        <v>0</v>
      </c>
      <c r="AW26" s="82">
        <f t="shared" si="33"/>
        <v>0</v>
      </c>
      <c r="AX26" s="81">
        <f t="shared" si="34"/>
        <v>0</v>
      </c>
      <c r="AY26" s="83">
        <f t="shared" si="35"/>
        <v>0</v>
      </c>
      <c r="AZ26" s="83">
        <f t="shared" si="36"/>
        <v>0</v>
      </c>
      <c r="BA26" s="82">
        <f>IF(OR(B26=Feiertage!$A$16,B26=Feiertage!$A$19),U26*Zuschläge_24_31/100,IF(AZ26&gt;0,AZ26*Feiertag_mit/100,IF(AX26&gt;0,AX26*Zuschläge_Sa/100,IF(AY26&gt;0,AY26*Zuschlag_So/100,0))))</f>
        <v>0</v>
      </c>
      <c r="BB26" s="82">
        <f>IF(AND(B26&lt;&gt;0,G26=Voreinstellung_Übersicht!$D$41),IF(EG=1,W26*Über_klein/100,IF(EG=2,W26*Über_groß/100,"Fehler")),0)</f>
        <v>0</v>
      </c>
      <c r="BC26" s="299">
        <f t="shared" ca="1" si="41"/>
        <v>0</v>
      </c>
      <c r="BD26" s="219">
        <f t="shared" ca="1" si="37"/>
        <v>1</v>
      </c>
      <c r="BE26" s="303">
        <f ca="1">IF(B26="","",INDIRECT(ADDRESS(MATCH(B26,Soll_AZ,1)+MATCH("Arbeitszeit 1 ab",Voreinstellung_Übersicht!B:B,0)-1,4,,,"Voreinstellung_Übersicht"),TRUE))</f>
        <v>1.6666666666666665</v>
      </c>
      <c r="BF26" s="1">
        <f t="shared" si="42"/>
        <v>0</v>
      </c>
    </row>
    <row r="27" spans="1:58" x14ac:dyDescent="0.3">
      <c r="A27" s="218">
        <f t="shared" si="0"/>
        <v>4</v>
      </c>
      <c r="B27" s="47">
        <f t="shared" si="38"/>
        <v>42023</v>
      </c>
      <c r="C27" s="219">
        <f t="shared" si="1"/>
        <v>0</v>
      </c>
      <c r="D27" s="220" t="str">
        <f t="shared" si="2"/>
        <v/>
      </c>
      <c r="E27" s="298" t="str">
        <f t="shared" si="3"/>
        <v/>
      </c>
      <c r="F27" s="87">
        <f t="shared" si="4"/>
        <v>42023</v>
      </c>
      <c r="G27" s="147"/>
      <c r="H27" s="74"/>
      <c r="I27" s="75"/>
      <c r="J27" s="221">
        <f t="shared" si="5"/>
        <v>0</v>
      </c>
      <c r="K27" s="76"/>
      <c r="L27" s="221">
        <f t="shared" si="43"/>
        <v>0</v>
      </c>
      <c r="M27" s="74"/>
      <c r="N27" s="75"/>
      <c r="O27" s="221">
        <f t="shared" si="6"/>
        <v>0</v>
      </c>
      <c r="P27" s="76"/>
      <c r="Q27" s="221">
        <f t="shared" si="44"/>
        <v>0</v>
      </c>
      <c r="R27" s="221">
        <f t="shared" si="45"/>
        <v>0</v>
      </c>
      <c r="S27" s="221">
        <f t="shared" si="7"/>
        <v>0</v>
      </c>
      <c r="T27" s="79">
        <f t="shared" si="8"/>
        <v>0</v>
      </c>
      <c r="U27" s="79">
        <f t="shared" si="39"/>
        <v>0</v>
      </c>
      <c r="V27" s="80">
        <f t="shared" ca="1" si="9"/>
        <v>0</v>
      </c>
      <c r="W27" s="249" t="str">
        <f t="shared" ca="1" si="10"/>
        <v/>
      </c>
      <c r="X27" s="293"/>
      <c r="Y27" s="221">
        <f t="shared" si="11"/>
        <v>0</v>
      </c>
      <c r="Z27" s="299">
        <f ca="1">IF(B27="","",INDIRECT(ADDRESS(MATCH(B27,Soll_AZ,1)+MATCH("Arbeitszeit 1 ab",Voreinstellung_Übersicht!B:B,0)-1,WEEKDAY(B27,2)+4,,,"Voreinstellung_Übersicht"),TRUE))</f>
        <v>0</v>
      </c>
      <c r="AA27" s="300">
        <f t="shared" ca="1" si="40"/>
        <v>0</v>
      </c>
      <c r="AB27" s="219">
        <f t="shared" si="12"/>
        <v>0</v>
      </c>
      <c r="AC27" s="219">
        <f t="shared" si="13"/>
        <v>0</v>
      </c>
      <c r="AD27" s="219">
        <f t="shared" si="14"/>
        <v>0</v>
      </c>
      <c r="AE27" s="219">
        <f t="shared" si="15"/>
        <v>0</v>
      </c>
      <c r="AF27" s="219">
        <f t="shared" si="16"/>
        <v>0</v>
      </c>
      <c r="AG27" s="219">
        <f t="shared" si="17"/>
        <v>0</v>
      </c>
      <c r="AH27" s="219">
        <f t="shared" si="18"/>
        <v>0</v>
      </c>
      <c r="AI27" s="219">
        <f t="shared" si="19"/>
        <v>0</v>
      </c>
      <c r="AJ27" s="219">
        <f t="shared" si="20"/>
        <v>0</v>
      </c>
      <c r="AK27" s="219">
        <f t="shared" si="21"/>
        <v>0</v>
      </c>
      <c r="AL27" s="219">
        <f t="shared" si="22"/>
        <v>0</v>
      </c>
      <c r="AM27" s="219">
        <f t="shared" si="23"/>
        <v>0</v>
      </c>
      <c r="AN27" s="301">
        <f t="shared" si="24"/>
        <v>0</v>
      </c>
      <c r="AO27" s="301">
        <f t="shared" si="25"/>
        <v>0</v>
      </c>
      <c r="AP27" s="301">
        <f t="shared" si="26"/>
        <v>0</v>
      </c>
      <c r="AQ27" s="301">
        <f t="shared" si="27"/>
        <v>0</v>
      </c>
      <c r="AR27" s="301">
        <f t="shared" si="28"/>
        <v>0</v>
      </c>
      <c r="AS27" s="301">
        <f t="shared" si="29"/>
        <v>0</v>
      </c>
      <c r="AT27" s="302">
        <f t="shared" si="30"/>
        <v>0</v>
      </c>
      <c r="AU27" s="302">
        <f t="shared" si="31"/>
        <v>0</v>
      </c>
      <c r="AV27" s="81">
        <f t="shared" si="32"/>
        <v>0</v>
      </c>
      <c r="AW27" s="82">
        <f t="shared" si="33"/>
        <v>0</v>
      </c>
      <c r="AX27" s="81">
        <f t="shared" si="34"/>
        <v>0</v>
      </c>
      <c r="AY27" s="83">
        <f t="shared" si="35"/>
        <v>0</v>
      </c>
      <c r="AZ27" s="83">
        <f t="shared" si="36"/>
        <v>0</v>
      </c>
      <c r="BA27" s="82">
        <f>IF(OR(B27=Feiertage!$A$16,B27=Feiertage!$A$19),U27*Zuschläge_24_31/100,IF(AZ27&gt;0,AZ27*Feiertag_mit/100,IF(AX27&gt;0,AX27*Zuschläge_Sa/100,IF(AY27&gt;0,AY27*Zuschlag_So/100,0))))</f>
        <v>0</v>
      </c>
      <c r="BB27" s="82">
        <f>IF(AND(B27&lt;&gt;0,G27=Voreinstellung_Übersicht!$D$41),IF(EG=1,W27*Über_klein/100,IF(EG=2,W27*Über_groß/100,"Fehler")),0)</f>
        <v>0</v>
      </c>
      <c r="BC27" s="299">
        <f t="shared" ca="1" si="41"/>
        <v>0</v>
      </c>
      <c r="BD27" s="219">
        <f t="shared" ca="1" si="37"/>
        <v>1</v>
      </c>
      <c r="BE27" s="303">
        <f ca="1">IF(B27="","",INDIRECT(ADDRESS(MATCH(B27,Soll_AZ,1)+MATCH("Arbeitszeit 1 ab",Voreinstellung_Übersicht!B:B,0)-1,4,,,"Voreinstellung_Übersicht"),TRUE))</f>
        <v>1.6666666666666665</v>
      </c>
      <c r="BF27" s="1">
        <f t="shared" si="42"/>
        <v>0</v>
      </c>
    </row>
    <row r="28" spans="1:58" x14ac:dyDescent="0.3">
      <c r="A28" s="218">
        <f t="shared" si="0"/>
        <v>4</v>
      </c>
      <c r="B28" s="47">
        <f t="shared" si="38"/>
        <v>42024</v>
      </c>
      <c r="C28" s="219">
        <f t="shared" si="1"/>
        <v>1</v>
      </c>
      <c r="D28" s="220" t="str">
        <f t="shared" si="2"/>
        <v/>
      </c>
      <c r="E28" s="298" t="str">
        <f t="shared" si="3"/>
        <v/>
      </c>
      <c r="F28" s="87">
        <f t="shared" si="4"/>
        <v>42024</v>
      </c>
      <c r="G28" s="147"/>
      <c r="H28" s="74"/>
      <c r="I28" s="75"/>
      <c r="J28" s="221">
        <f t="shared" si="5"/>
        <v>0</v>
      </c>
      <c r="K28" s="76"/>
      <c r="L28" s="221">
        <f t="shared" si="43"/>
        <v>0</v>
      </c>
      <c r="M28" s="74"/>
      <c r="N28" s="75"/>
      <c r="O28" s="221">
        <f t="shared" si="6"/>
        <v>0</v>
      </c>
      <c r="P28" s="76"/>
      <c r="Q28" s="221">
        <f t="shared" si="44"/>
        <v>0</v>
      </c>
      <c r="R28" s="221">
        <f t="shared" si="45"/>
        <v>0</v>
      </c>
      <c r="S28" s="221">
        <f t="shared" si="7"/>
        <v>0</v>
      </c>
      <c r="T28" s="79">
        <f t="shared" si="8"/>
        <v>0</v>
      </c>
      <c r="U28" s="79">
        <f t="shared" si="39"/>
        <v>0</v>
      </c>
      <c r="V28" s="80">
        <f t="shared" ca="1" si="9"/>
        <v>0.33333333329999998</v>
      </c>
      <c r="W28" s="249" t="str">
        <f t="shared" ca="1" si="10"/>
        <v/>
      </c>
      <c r="X28" s="293"/>
      <c r="Y28" s="221">
        <f t="shared" si="11"/>
        <v>0</v>
      </c>
      <c r="Z28" s="299">
        <f ca="1">IF(B28="","",INDIRECT(ADDRESS(MATCH(B28,Soll_AZ,1)+MATCH("Arbeitszeit 1 ab",Voreinstellung_Übersicht!B:B,0)-1,WEEKDAY(B28,2)+4,,,"Voreinstellung_Übersicht"),TRUE))</f>
        <v>0.33333333333333331</v>
      </c>
      <c r="AA28" s="300">
        <f t="shared" ca="1" si="40"/>
        <v>0</v>
      </c>
      <c r="AB28" s="219">
        <f t="shared" si="12"/>
        <v>0</v>
      </c>
      <c r="AC28" s="219">
        <f t="shared" si="13"/>
        <v>0</v>
      </c>
      <c r="AD28" s="219">
        <f t="shared" si="14"/>
        <v>0</v>
      </c>
      <c r="AE28" s="219">
        <f t="shared" si="15"/>
        <v>0</v>
      </c>
      <c r="AF28" s="219">
        <f t="shared" si="16"/>
        <v>0</v>
      </c>
      <c r="AG28" s="219">
        <f t="shared" si="17"/>
        <v>0</v>
      </c>
      <c r="AH28" s="219">
        <f t="shared" si="18"/>
        <v>0</v>
      </c>
      <c r="AI28" s="219">
        <f t="shared" si="19"/>
        <v>0</v>
      </c>
      <c r="AJ28" s="219">
        <f t="shared" si="20"/>
        <v>0</v>
      </c>
      <c r="AK28" s="219">
        <f t="shared" si="21"/>
        <v>0</v>
      </c>
      <c r="AL28" s="219">
        <f t="shared" si="22"/>
        <v>0</v>
      </c>
      <c r="AM28" s="219">
        <f t="shared" si="23"/>
        <v>0</v>
      </c>
      <c r="AN28" s="301">
        <f t="shared" si="24"/>
        <v>0</v>
      </c>
      <c r="AO28" s="301">
        <f t="shared" si="25"/>
        <v>0</v>
      </c>
      <c r="AP28" s="301">
        <f t="shared" si="26"/>
        <v>0</v>
      </c>
      <c r="AQ28" s="301">
        <f t="shared" si="27"/>
        <v>0</v>
      </c>
      <c r="AR28" s="301">
        <f t="shared" si="28"/>
        <v>0</v>
      </c>
      <c r="AS28" s="301">
        <f t="shared" si="29"/>
        <v>0</v>
      </c>
      <c r="AT28" s="302">
        <f t="shared" si="30"/>
        <v>0</v>
      </c>
      <c r="AU28" s="302">
        <f t="shared" si="31"/>
        <v>0</v>
      </c>
      <c r="AV28" s="81">
        <f t="shared" si="32"/>
        <v>0</v>
      </c>
      <c r="AW28" s="82">
        <f t="shared" si="33"/>
        <v>0</v>
      </c>
      <c r="AX28" s="81">
        <f t="shared" si="34"/>
        <v>0</v>
      </c>
      <c r="AY28" s="83">
        <f t="shared" si="35"/>
        <v>0</v>
      </c>
      <c r="AZ28" s="83">
        <f t="shared" si="36"/>
        <v>0</v>
      </c>
      <c r="BA28" s="82">
        <f>IF(OR(B28=Feiertage!$A$16,B28=Feiertage!$A$19),U28*Zuschläge_24_31/100,IF(AZ28&gt;0,AZ28*Feiertag_mit/100,IF(AX28&gt;0,AX28*Zuschläge_Sa/100,IF(AY28&gt;0,AY28*Zuschlag_So/100,0))))</f>
        <v>0</v>
      </c>
      <c r="BB28" s="82">
        <f>IF(AND(B28&lt;&gt;0,G28=Voreinstellung_Übersicht!$D$41),IF(EG=1,W28*Über_klein/100,IF(EG=2,W28*Über_groß/100,"Fehler")),0)</f>
        <v>0</v>
      </c>
      <c r="BC28" s="299">
        <f t="shared" ca="1" si="41"/>
        <v>0</v>
      </c>
      <c r="BD28" s="219">
        <f t="shared" ca="1" si="37"/>
        <v>1</v>
      </c>
      <c r="BE28" s="303">
        <f ca="1">IF(B28="","",INDIRECT(ADDRESS(MATCH(B28,Soll_AZ,1)+MATCH("Arbeitszeit 1 ab",Voreinstellung_Übersicht!B:B,0)-1,4,,,"Voreinstellung_Übersicht"),TRUE))</f>
        <v>1.6666666666666665</v>
      </c>
      <c r="BF28" s="1">
        <f t="shared" si="42"/>
        <v>0</v>
      </c>
    </row>
    <row r="29" spans="1:58" x14ac:dyDescent="0.3">
      <c r="A29" s="218">
        <f t="shared" si="0"/>
        <v>4</v>
      </c>
      <c r="B29" s="47">
        <f t="shared" si="38"/>
        <v>42025</v>
      </c>
      <c r="C29" s="219">
        <f t="shared" si="1"/>
        <v>1</v>
      </c>
      <c r="D29" s="220" t="str">
        <f t="shared" si="2"/>
        <v/>
      </c>
      <c r="E29" s="298" t="str">
        <f t="shared" si="3"/>
        <v/>
      </c>
      <c r="F29" s="87">
        <f t="shared" si="4"/>
        <v>42025</v>
      </c>
      <c r="G29" s="147"/>
      <c r="H29" s="74"/>
      <c r="I29" s="75"/>
      <c r="J29" s="221">
        <f t="shared" si="5"/>
        <v>0</v>
      </c>
      <c r="K29" s="76"/>
      <c r="L29" s="221">
        <f t="shared" si="43"/>
        <v>0</v>
      </c>
      <c r="M29" s="74"/>
      <c r="N29" s="75"/>
      <c r="O29" s="221">
        <f t="shared" si="6"/>
        <v>0</v>
      </c>
      <c r="P29" s="76"/>
      <c r="Q29" s="221">
        <f t="shared" si="44"/>
        <v>0</v>
      </c>
      <c r="R29" s="221">
        <f t="shared" si="45"/>
        <v>0</v>
      </c>
      <c r="S29" s="221">
        <f t="shared" si="7"/>
        <v>0</v>
      </c>
      <c r="T29" s="79">
        <f t="shared" si="8"/>
        <v>0</v>
      </c>
      <c r="U29" s="79">
        <f t="shared" si="39"/>
        <v>0</v>
      </c>
      <c r="V29" s="80">
        <f t="shared" ca="1" si="9"/>
        <v>0.33333333329999998</v>
      </c>
      <c r="W29" s="249" t="str">
        <f t="shared" ca="1" si="10"/>
        <v/>
      </c>
      <c r="X29" s="293"/>
      <c r="Y29" s="221">
        <f t="shared" si="11"/>
        <v>0</v>
      </c>
      <c r="Z29" s="299">
        <f ca="1">IF(B29="","",INDIRECT(ADDRESS(MATCH(B29,Soll_AZ,1)+MATCH("Arbeitszeit 1 ab",Voreinstellung_Übersicht!B:B,0)-1,WEEKDAY(B29,2)+4,,,"Voreinstellung_Übersicht"),TRUE))</f>
        <v>0.33333333333333331</v>
      </c>
      <c r="AA29" s="300">
        <f t="shared" ca="1" si="40"/>
        <v>0</v>
      </c>
      <c r="AB29" s="219">
        <f t="shared" si="12"/>
        <v>0</v>
      </c>
      <c r="AC29" s="219">
        <f t="shared" si="13"/>
        <v>0</v>
      </c>
      <c r="AD29" s="219">
        <f t="shared" si="14"/>
        <v>0</v>
      </c>
      <c r="AE29" s="219">
        <f t="shared" si="15"/>
        <v>0</v>
      </c>
      <c r="AF29" s="219">
        <f t="shared" si="16"/>
        <v>0</v>
      </c>
      <c r="AG29" s="219">
        <f t="shared" si="17"/>
        <v>0</v>
      </c>
      <c r="AH29" s="219">
        <f t="shared" si="18"/>
        <v>0</v>
      </c>
      <c r="AI29" s="219">
        <f t="shared" si="19"/>
        <v>0</v>
      </c>
      <c r="AJ29" s="219">
        <f t="shared" si="20"/>
        <v>0</v>
      </c>
      <c r="AK29" s="219">
        <f t="shared" si="21"/>
        <v>0</v>
      </c>
      <c r="AL29" s="219">
        <f t="shared" si="22"/>
        <v>0</v>
      </c>
      <c r="AM29" s="219">
        <f t="shared" si="23"/>
        <v>0</v>
      </c>
      <c r="AN29" s="301">
        <f t="shared" si="24"/>
        <v>0</v>
      </c>
      <c r="AO29" s="301">
        <f t="shared" si="25"/>
        <v>0</v>
      </c>
      <c r="AP29" s="301">
        <f t="shared" si="26"/>
        <v>0</v>
      </c>
      <c r="AQ29" s="301">
        <f t="shared" si="27"/>
        <v>0</v>
      </c>
      <c r="AR29" s="301">
        <f t="shared" si="28"/>
        <v>0</v>
      </c>
      <c r="AS29" s="301">
        <f t="shared" si="29"/>
        <v>0</v>
      </c>
      <c r="AT29" s="302">
        <f t="shared" si="30"/>
        <v>0</v>
      </c>
      <c r="AU29" s="302">
        <f t="shared" si="31"/>
        <v>0</v>
      </c>
      <c r="AV29" s="81">
        <f t="shared" si="32"/>
        <v>0</v>
      </c>
      <c r="AW29" s="82">
        <f t="shared" si="33"/>
        <v>0</v>
      </c>
      <c r="AX29" s="81">
        <f t="shared" si="34"/>
        <v>0</v>
      </c>
      <c r="AY29" s="83">
        <f t="shared" si="35"/>
        <v>0</v>
      </c>
      <c r="AZ29" s="83">
        <f t="shared" si="36"/>
        <v>0</v>
      </c>
      <c r="BA29" s="82">
        <f>IF(OR(B29=Feiertage!$A$16,B29=Feiertage!$A$19),U29*Zuschläge_24_31/100,IF(AZ29&gt;0,AZ29*Feiertag_mit/100,IF(AX29&gt;0,AX29*Zuschläge_Sa/100,IF(AY29&gt;0,AY29*Zuschlag_So/100,0))))</f>
        <v>0</v>
      </c>
      <c r="BB29" s="82">
        <f>IF(AND(B29&lt;&gt;0,G29=Voreinstellung_Übersicht!$D$41),IF(EG=1,W29*Über_klein/100,IF(EG=2,W29*Über_groß/100,"Fehler")),0)</f>
        <v>0</v>
      </c>
      <c r="BC29" s="299">
        <f t="shared" ca="1" si="41"/>
        <v>0</v>
      </c>
      <c r="BD29" s="219">
        <f t="shared" ca="1" si="37"/>
        <v>1</v>
      </c>
      <c r="BE29" s="303">
        <f ca="1">IF(B29="","",INDIRECT(ADDRESS(MATCH(B29,Soll_AZ,1)+MATCH("Arbeitszeit 1 ab",Voreinstellung_Übersicht!B:B,0)-1,4,,,"Voreinstellung_Übersicht"),TRUE))</f>
        <v>1.6666666666666665</v>
      </c>
      <c r="BF29" s="1">
        <f t="shared" si="42"/>
        <v>0</v>
      </c>
    </row>
    <row r="30" spans="1:58" x14ac:dyDescent="0.3">
      <c r="A30" s="218">
        <f t="shared" si="0"/>
        <v>4</v>
      </c>
      <c r="B30" s="47">
        <f t="shared" si="38"/>
        <v>42026</v>
      </c>
      <c r="C30" s="219">
        <f t="shared" si="1"/>
        <v>1</v>
      </c>
      <c r="D30" s="220" t="str">
        <f t="shared" si="2"/>
        <v/>
      </c>
      <c r="E30" s="298" t="str">
        <f t="shared" si="3"/>
        <v/>
      </c>
      <c r="F30" s="87">
        <f t="shared" si="4"/>
        <v>42026</v>
      </c>
      <c r="G30" s="147"/>
      <c r="H30" s="74"/>
      <c r="I30" s="75"/>
      <c r="J30" s="221">
        <f t="shared" si="5"/>
        <v>0</v>
      </c>
      <c r="K30" s="76"/>
      <c r="L30" s="221">
        <f t="shared" si="43"/>
        <v>0</v>
      </c>
      <c r="M30" s="74"/>
      <c r="N30" s="75"/>
      <c r="O30" s="221">
        <f t="shared" si="6"/>
        <v>0</v>
      </c>
      <c r="P30" s="76"/>
      <c r="Q30" s="221">
        <f t="shared" si="44"/>
        <v>0</v>
      </c>
      <c r="R30" s="221">
        <f t="shared" si="45"/>
        <v>0</v>
      </c>
      <c r="S30" s="221">
        <f t="shared" si="7"/>
        <v>0</v>
      </c>
      <c r="T30" s="79">
        <f t="shared" si="8"/>
        <v>0</v>
      </c>
      <c r="U30" s="79">
        <f t="shared" si="39"/>
        <v>0</v>
      </c>
      <c r="V30" s="80">
        <f t="shared" ca="1" si="9"/>
        <v>0.33333333329999998</v>
      </c>
      <c r="W30" s="249" t="str">
        <f t="shared" ca="1" si="10"/>
        <v/>
      </c>
      <c r="X30" s="293"/>
      <c r="Y30" s="221">
        <f t="shared" si="11"/>
        <v>0</v>
      </c>
      <c r="Z30" s="299">
        <f ca="1">IF(B30="","",INDIRECT(ADDRESS(MATCH(B30,Soll_AZ,1)+MATCH("Arbeitszeit 1 ab",Voreinstellung_Übersicht!B:B,0)-1,WEEKDAY(B30,2)+4,,,"Voreinstellung_Übersicht"),TRUE))</f>
        <v>0.33333333333333331</v>
      </c>
      <c r="AA30" s="300">
        <f t="shared" ca="1" si="40"/>
        <v>0</v>
      </c>
      <c r="AB30" s="219">
        <f t="shared" si="12"/>
        <v>0</v>
      </c>
      <c r="AC30" s="219">
        <f t="shared" si="13"/>
        <v>0</v>
      </c>
      <c r="AD30" s="219">
        <f t="shared" si="14"/>
        <v>0</v>
      </c>
      <c r="AE30" s="219">
        <f t="shared" si="15"/>
        <v>0</v>
      </c>
      <c r="AF30" s="219">
        <f t="shared" si="16"/>
        <v>0</v>
      </c>
      <c r="AG30" s="219">
        <f t="shared" si="17"/>
        <v>0</v>
      </c>
      <c r="AH30" s="219">
        <f t="shared" si="18"/>
        <v>0</v>
      </c>
      <c r="AI30" s="219">
        <f t="shared" si="19"/>
        <v>0</v>
      </c>
      <c r="AJ30" s="219">
        <f t="shared" si="20"/>
        <v>0</v>
      </c>
      <c r="AK30" s="219">
        <f t="shared" si="21"/>
        <v>0</v>
      </c>
      <c r="AL30" s="219">
        <f t="shared" si="22"/>
        <v>0</v>
      </c>
      <c r="AM30" s="219">
        <f t="shared" si="23"/>
        <v>0</v>
      </c>
      <c r="AN30" s="301">
        <f t="shared" si="24"/>
        <v>0</v>
      </c>
      <c r="AO30" s="301">
        <f t="shared" si="25"/>
        <v>0</v>
      </c>
      <c r="AP30" s="301">
        <f t="shared" si="26"/>
        <v>0</v>
      </c>
      <c r="AQ30" s="301">
        <f t="shared" si="27"/>
        <v>0</v>
      </c>
      <c r="AR30" s="301">
        <f t="shared" si="28"/>
        <v>0</v>
      </c>
      <c r="AS30" s="301">
        <f t="shared" si="29"/>
        <v>0</v>
      </c>
      <c r="AT30" s="302">
        <f t="shared" si="30"/>
        <v>0</v>
      </c>
      <c r="AU30" s="302">
        <f t="shared" si="31"/>
        <v>0</v>
      </c>
      <c r="AV30" s="81">
        <f t="shared" si="32"/>
        <v>0</v>
      </c>
      <c r="AW30" s="82">
        <f t="shared" si="33"/>
        <v>0</v>
      </c>
      <c r="AX30" s="81">
        <f t="shared" si="34"/>
        <v>0</v>
      </c>
      <c r="AY30" s="83">
        <f t="shared" si="35"/>
        <v>0</v>
      </c>
      <c r="AZ30" s="83">
        <f t="shared" si="36"/>
        <v>0</v>
      </c>
      <c r="BA30" s="82">
        <f>IF(OR(B30=Feiertage!$A$16,B30=Feiertage!$A$19),U30*Zuschläge_24_31/100,IF(AZ30&gt;0,AZ30*Feiertag_mit/100,IF(AX30&gt;0,AX30*Zuschläge_Sa/100,IF(AY30&gt;0,AY30*Zuschlag_So/100,0))))</f>
        <v>0</v>
      </c>
      <c r="BB30" s="82">
        <f>IF(AND(B30&lt;&gt;0,G30=Voreinstellung_Übersicht!$D$41),IF(EG=1,W30*Über_klein/100,IF(EG=2,W30*Über_groß/100,"Fehler")),0)</f>
        <v>0</v>
      </c>
      <c r="BC30" s="299">
        <f t="shared" ca="1" si="41"/>
        <v>0</v>
      </c>
      <c r="BD30" s="219">
        <f t="shared" ca="1" si="37"/>
        <v>1</v>
      </c>
      <c r="BE30" s="303">
        <f ca="1">IF(B30="","",INDIRECT(ADDRESS(MATCH(B30,Soll_AZ,1)+MATCH("Arbeitszeit 1 ab",Voreinstellung_Übersicht!B:B,0)-1,4,,,"Voreinstellung_Übersicht"),TRUE))</f>
        <v>1.6666666666666665</v>
      </c>
      <c r="BF30" s="1">
        <f t="shared" si="42"/>
        <v>0</v>
      </c>
    </row>
    <row r="31" spans="1:58" x14ac:dyDescent="0.3">
      <c r="A31" s="218">
        <f t="shared" si="0"/>
        <v>4</v>
      </c>
      <c r="B31" s="47">
        <f t="shared" si="38"/>
        <v>42027</v>
      </c>
      <c r="C31" s="219">
        <f t="shared" si="1"/>
        <v>1</v>
      </c>
      <c r="D31" s="220" t="str">
        <f t="shared" si="2"/>
        <v/>
      </c>
      <c r="E31" s="298" t="str">
        <f t="shared" si="3"/>
        <v/>
      </c>
      <c r="F31" s="87">
        <f t="shared" si="4"/>
        <v>42027</v>
      </c>
      <c r="G31" s="147"/>
      <c r="H31" s="74"/>
      <c r="I31" s="75"/>
      <c r="J31" s="221">
        <f t="shared" si="5"/>
        <v>0</v>
      </c>
      <c r="K31" s="76"/>
      <c r="L31" s="221">
        <f t="shared" si="43"/>
        <v>0</v>
      </c>
      <c r="M31" s="74"/>
      <c r="N31" s="75"/>
      <c r="O31" s="221">
        <f t="shared" si="6"/>
        <v>0</v>
      </c>
      <c r="P31" s="76"/>
      <c r="Q31" s="221">
        <f t="shared" si="44"/>
        <v>0</v>
      </c>
      <c r="R31" s="221">
        <f t="shared" si="45"/>
        <v>0</v>
      </c>
      <c r="S31" s="221">
        <f t="shared" si="7"/>
        <v>0</v>
      </c>
      <c r="T31" s="79">
        <f t="shared" si="8"/>
        <v>0</v>
      </c>
      <c r="U31" s="79">
        <f t="shared" si="39"/>
        <v>0</v>
      </c>
      <c r="V31" s="80">
        <f t="shared" ca="1" si="9"/>
        <v>0.33333333329999998</v>
      </c>
      <c r="W31" s="249" t="str">
        <f t="shared" ca="1" si="10"/>
        <v/>
      </c>
      <c r="X31" s="293"/>
      <c r="Y31" s="221">
        <f t="shared" si="11"/>
        <v>0</v>
      </c>
      <c r="Z31" s="299">
        <f ca="1">IF(B31="","",INDIRECT(ADDRESS(MATCH(B31,Soll_AZ,1)+MATCH("Arbeitszeit 1 ab",Voreinstellung_Übersicht!B:B,0)-1,WEEKDAY(B31,2)+4,,,"Voreinstellung_Übersicht"),TRUE))</f>
        <v>0.33333333333333331</v>
      </c>
      <c r="AA31" s="300">
        <f t="shared" ca="1" si="40"/>
        <v>0</v>
      </c>
      <c r="AB31" s="219">
        <f t="shared" si="12"/>
        <v>0</v>
      </c>
      <c r="AC31" s="219">
        <f t="shared" si="13"/>
        <v>0</v>
      </c>
      <c r="AD31" s="219">
        <f t="shared" si="14"/>
        <v>0</v>
      </c>
      <c r="AE31" s="219">
        <f t="shared" si="15"/>
        <v>0</v>
      </c>
      <c r="AF31" s="219">
        <f t="shared" si="16"/>
        <v>0</v>
      </c>
      <c r="AG31" s="219">
        <f t="shared" si="17"/>
        <v>0</v>
      </c>
      <c r="AH31" s="219">
        <f t="shared" si="18"/>
        <v>0</v>
      </c>
      <c r="AI31" s="219">
        <f t="shared" si="19"/>
        <v>0</v>
      </c>
      <c r="AJ31" s="219">
        <f t="shared" si="20"/>
        <v>0</v>
      </c>
      <c r="AK31" s="219">
        <f t="shared" si="21"/>
        <v>0</v>
      </c>
      <c r="AL31" s="219">
        <f t="shared" si="22"/>
        <v>0</v>
      </c>
      <c r="AM31" s="219">
        <f t="shared" si="23"/>
        <v>0</v>
      </c>
      <c r="AN31" s="301">
        <f t="shared" si="24"/>
        <v>0</v>
      </c>
      <c r="AO31" s="301">
        <f t="shared" si="25"/>
        <v>0</v>
      </c>
      <c r="AP31" s="301">
        <f t="shared" si="26"/>
        <v>0</v>
      </c>
      <c r="AQ31" s="301">
        <f t="shared" si="27"/>
        <v>0</v>
      </c>
      <c r="AR31" s="301">
        <f t="shared" si="28"/>
        <v>0</v>
      </c>
      <c r="AS31" s="301">
        <f t="shared" si="29"/>
        <v>0</v>
      </c>
      <c r="AT31" s="302">
        <f t="shared" si="30"/>
        <v>0</v>
      </c>
      <c r="AU31" s="302">
        <f t="shared" si="31"/>
        <v>0</v>
      </c>
      <c r="AV31" s="81">
        <f t="shared" si="32"/>
        <v>0</v>
      </c>
      <c r="AW31" s="82">
        <f t="shared" si="33"/>
        <v>0</v>
      </c>
      <c r="AX31" s="81">
        <f t="shared" si="34"/>
        <v>0</v>
      </c>
      <c r="AY31" s="83">
        <f t="shared" si="35"/>
        <v>0</v>
      </c>
      <c r="AZ31" s="83">
        <f t="shared" si="36"/>
        <v>0</v>
      </c>
      <c r="BA31" s="82">
        <f>IF(OR(B31=Feiertage!$A$16,B31=Feiertage!$A$19),U31*Zuschläge_24_31/100,IF(AZ31&gt;0,AZ31*Feiertag_mit/100,IF(AX31&gt;0,AX31*Zuschläge_Sa/100,IF(AY31&gt;0,AY31*Zuschlag_So/100,0))))</f>
        <v>0</v>
      </c>
      <c r="BB31" s="82">
        <f>IF(AND(B31&lt;&gt;0,G31=Voreinstellung_Übersicht!$D$41),IF(EG=1,W31*Über_klein/100,IF(EG=2,W31*Über_groß/100,"Fehler")),0)</f>
        <v>0</v>
      </c>
      <c r="BC31" s="299">
        <f t="shared" ca="1" si="41"/>
        <v>0</v>
      </c>
      <c r="BD31" s="219">
        <f t="shared" ca="1" si="37"/>
        <v>1</v>
      </c>
      <c r="BE31" s="303">
        <f ca="1">IF(B31="","",INDIRECT(ADDRESS(MATCH(B31,Soll_AZ,1)+MATCH("Arbeitszeit 1 ab",Voreinstellung_Übersicht!B:B,0)-1,4,,,"Voreinstellung_Übersicht"),TRUE))</f>
        <v>1.6666666666666665</v>
      </c>
      <c r="BF31" s="1">
        <f t="shared" si="42"/>
        <v>0</v>
      </c>
    </row>
    <row r="32" spans="1:58" x14ac:dyDescent="0.3">
      <c r="A32" s="218">
        <f t="shared" si="0"/>
        <v>4</v>
      </c>
      <c r="B32" s="47">
        <f t="shared" si="38"/>
        <v>42028</v>
      </c>
      <c r="C32" s="219">
        <f t="shared" si="1"/>
        <v>1</v>
      </c>
      <c r="D32" s="220" t="str">
        <f t="shared" si="2"/>
        <v/>
      </c>
      <c r="E32" s="298" t="str">
        <f t="shared" si="3"/>
        <v/>
      </c>
      <c r="F32" s="87">
        <f t="shared" si="4"/>
        <v>42028</v>
      </c>
      <c r="G32" s="147"/>
      <c r="H32" s="74"/>
      <c r="I32" s="75"/>
      <c r="J32" s="221">
        <f t="shared" si="5"/>
        <v>0</v>
      </c>
      <c r="K32" s="76"/>
      <c r="L32" s="221">
        <f t="shared" si="43"/>
        <v>0</v>
      </c>
      <c r="M32" s="74"/>
      <c r="N32" s="75"/>
      <c r="O32" s="221">
        <f t="shared" si="6"/>
        <v>0</v>
      </c>
      <c r="P32" s="76"/>
      <c r="Q32" s="221">
        <f t="shared" si="44"/>
        <v>0</v>
      </c>
      <c r="R32" s="221">
        <f t="shared" si="45"/>
        <v>0</v>
      </c>
      <c r="S32" s="221">
        <f t="shared" si="7"/>
        <v>0</v>
      </c>
      <c r="T32" s="79">
        <f t="shared" si="8"/>
        <v>0</v>
      </c>
      <c r="U32" s="79">
        <f t="shared" si="39"/>
        <v>0</v>
      </c>
      <c r="V32" s="80">
        <f t="shared" ca="1" si="9"/>
        <v>0.33333333329999998</v>
      </c>
      <c r="W32" s="249" t="str">
        <f t="shared" ca="1" si="10"/>
        <v/>
      </c>
      <c r="X32" s="293"/>
      <c r="Y32" s="221">
        <f t="shared" si="11"/>
        <v>0</v>
      </c>
      <c r="Z32" s="299">
        <f ca="1">IF(B32="","",INDIRECT(ADDRESS(MATCH(B32,Soll_AZ,1)+MATCH("Arbeitszeit 1 ab",Voreinstellung_Übersicht!B:B,0)-1,WEEKDAY(B32,2)+4,,,"Voreinstellung_Übersicht"),TRUE))</f>
        <v>0.33333333333333331</v>
      </c>
      <c r="AA32" s="300">
        <f t="shared" ca="1" si="40"/>
        <v>0</v>
      </c>
      <c r="AB32" s="219">
        <f t="shared" si="12"/>
        <v>0</v>
      </c>
      <c r="AC32" s="219">
        <f t="shared" si="13"/>
        <v>0</v>
      </c>
      <c r="AD32" s="219">
        <f t="shared" si="14"/>
        <v>0</v>
      </c>
      <c r="AE32" s="219">
        <f t="shared" si="15"/>
        <v>0</v>
      </c>
      <c r="AF32" s="219">
        <f t="shared" si="16"/>
        <v>0</v>
      </c>
      <c r="AG32" s="219">
        <f t="shared" si="17"/>
        <v>0</v>
      </c>
      <c r="AH32" s="219">
        <f t="shared" si="18"/>
        <v>0</v>
      </c>
      <c r="AI32" s="219">
        <f t="shared" si="19"/>
        <v>0</v>
      </c>
      <c r="AJ32" s="219">
        <f t="shared" si="20"/>
        <v>0</v>
      </c>
      <c r="AK32" s="219">
        <f t="shared" si="21"/>
        <v>0</v>
      </c>
      <c r="AL32" s="219">
        <f t="shared" si="22"/>
        <v>0</v>
      </c>
      <c r="AM32" s="219">
        <f t="shared" si="23"/>
        <v>0</v>
      </c>
      <c r="AN32" s="301">
        <f t="shared" si="24"/>
        <v>0</v>
      </c>
      <c r="AO32" s="301">
        <f t="shared" si="25"/>
        <v>0</v>
      </c>
      <c r="AP32" s="301">
        <f t="shared" si="26"/>
        <v>0</v>
      </c>
      <c r="AQ32" s="301">
        <f t="shared" si="27"/>
        <v>0</v>
      </c>
      <c r="AR32" s="301">
        <f t="shared" si="28"/>
        <v>0</v>
      </c>
      <c r="AS32" s="301">
        <f t="shared" si="29"/>
        <v>0</v>
      </c>
      <c r="AT32" s="302">
        <f t="shared" si="30"/>
        <v>0</v>
      </c>
      <c r="AU32" s="302">
        <f t="shared" si="31"/>
        <v>0</v>
      </c>
      <c r="AV32" s="81">
        <f t="shared" si="32"/>
        <v>0</v>
      </c>
      <c r="AW32" s="82">
        <f t="shared" si="33"/>
        <v>0</v>
      </c>
      <c r="AX32" s="81">
        <f t="shared" si="34"/>
        <v>0</v>
      </c>
      <c r="AY32" s="83">
        <f t="shared" si="35"/>
        <v>0</v>
      </c>
      <c r="AZ32" s="83">
        <f t="shared" si="36"/>
        <v>0</v>
      </c>
      <c r="BA32" s="82">
        <f>IF(OR(B32=Feiertage!$A$16,B32=Feiertage!$A$19),U32*Zuschläge_24_31/100,IF(AZ32&gt;0,AZ32*Feiertag_mit/100,IF(AX32&gt;0,AX32*Zuschläge_Sa/100,IF(AY32&gt;0,AY32*Zuschlag_So/100,0))))</f>
        <v>0</v>
      </c>
      <c r="BB32" s="82">
        <f>IF(AND(B32&lt;&gt;0,G32=Voreinstellung_Übersicht!$D$41),IF(EG=1,W32*Über_klein/100,IF(EG=2,W32*Über_groß/100,"Fehler")),0)</f>
        <v>0</v>
      </c>
      <c r="BC32" s="299">
        <f t="shared" ca="1" si="41"/>
        <v>0</v>
      </c>
      <c r="BD32" s="219">
        <f t="shared" ca="1" si="37"/>
        <v>1</v>
      </c>
      <c r="BE32" s="303">
        <f ca="1">IF(B32="","",INDIRECT(ADDRESS(MATCH(B32,Soll_AZ,1)+MATCH("Arbeitszeit 1 ab",Voreinstellung_Übersicht!B:B,0)-1,4,,,"Voreinstellung_Übersicht"),TRUE))</f>
        <v>1.6666666666666665</v>
      </c>
      <c r="BF32" s="1">
        <f t="shared" si="42"/>
        <v>0</v>
      </c>
    </row>
    <row r="33" spans="1:104" x14ac:dyDescent="0.3">
      <c r="A33" s="218">
        <f t="shared" si="0"/>
        <v>4</v>
      </c>
      <c r="B33" s="47">
        <f t="shared" si="38"/>
        <v>42029</v>
      </c>
      <c r="C33" s="219">
        <f t="shared" si="1"/>
        <v>0</v>
      </c>
      <c r="D33" s="220" t="str">
        <f t="shared" si="2"/>
        <v/>
      </c>
      <c r="E33" s="298" t="str">
        <f t="shared" si="3"/>
        <v/>
      </c>
      <c r="F33" s="87">
        <f t="shared" si="4"/>
        <v>42029</v>
      </c>
      <c r="G33" s="147"/>
      <c r="H33" s="74"/>
      <c r="I33" s="75"/>
      <c r="J33" s="221">
        <f t="shared" si="5"/>
        <v>0</v>
      </c>
      <c r="K33" s="76"/>
      <c r="L33" s="221">
        <f t="shared" si="43"/>
        <v>0</v>
      </c>
      <c r="M33" s="74"/>
      <c r="N33" s="75"/>
      <c r="O33" s="221">
        <f t="shared" si="6"/>
        <v>0</v>
      </c>
      <c r="P33" s="76"/>
      <c r="Q33" s="221">
        <f t="shared" si="44"/>
        <v>0</v>
      </c>
      <c r="R33" s="221">
        <f t="shared" si="45"/>
        <v>0</v>
      </c>
      <c r="S33" s="221">
        <f t="shared" si="7"/>
        <v>0</v>
      </c>
      <c r="T33" s="79">
        <f t="shared" si="8"/>
        <v>0</v>
      </c>
      <c r="U33" s="79">
        <f t="shared" si="39"/>
        <v>0</v>
      </c>
      <c r="V33" s="80">
        <f t="shared" ca="1" si="9"/>
        <v>0</v>
      </c>
      <c r="W33" s="249" t="str">
        <f t="shared" ca="1" si="10"/>
        <v/>
      </c>
      <c r="X33" s="293"/>
      <c r="Y33" s="221">
        <f t="shared" si="11"/>
        <v>0</v>
      </c>
      <c r="Z33" s="299">
        <f ca="1">IF(B33="","",INDIRECT(ADDRESS(MATCH(B33,Soll_AZ,1)+MATCH("Arbeitszeit 1 ab",Voreinstellung_Übersicht!B:B,0)-1,WEEKDAY(B33,2)+4,,,"Voreinstellung_Übersicht"),TRUE))</f>
        <v>0</v>
      </c>
      <c r="AA33" s="300">
        <f t="shared" ca="1" si="40"/>
        <v>0</v>
      </c>
      <c r="AB33" s="219">
        <f t="shared" si="12"/>
        <v>0</v>
      </c>
      <c r="AC33" s="219">
        <f t="shared" si="13"/>
        <v>0</v>
      </c>
      <c r="AD33" s="219">
        <f t="shared" si="14"/>
        <v>0</v>
      </c>
      <c r="AE33" s="219">
        <f t="shared" si="15"/>
        <v>0</v>
      </c>
      <c r="AF33" s="219">
        <f t="shared" si="16"/>
        <v>0</v>
      </c>
      <c r="AG33" s="219">
        <f t="shared" si="17"/>
        <v>0</v>
      </c>
      <c r="AH33" s="219">
        <f t="shared" si="18"/>
        <v>0</v>
      </c>
      <c r="AI33" s="219">
        <f t="shared" si="19"/>
        <v>0</v>
      </c>
      <c r="AJ33" s="219">
        <f t="shared" si="20"/>
        <v>0</v>
      </c>
      <c r="AK33" s="219">
        <f t="shared" si="21"/>
        <v>0</v>
      </c>
      <c r="AL33" s="219">
        <f t="shared" si="22"/>
        <v>0</v>
      </c>
      <c r="AM33" s="219">
        <f t="shared" si="23"/>
        <v>0</v>
      </c>
      <c r="AN33" s="301">
        <f t="shared" si="24"/>
        <v>0</v>
      </c>
      <c r="AO33" s="301">
        <f t="shared" si="25"/>
        <v>0</v>
      </c>
      <c r="AP33" s="301">
        <f t="shared" si="26"/>
        <v>0</v>
      </c>
      <c r="AQ33" s="301">
        <f t="shared" si="27"/>
        <v>0</v>
      </c>
      <c r="AR33" s="301">
        <f t="shared" si="28"/>
        <v>0</v>
      </c>
      <c r="AS33" s="301">
        <f t="shared" si="29"/>
        <v>0</v>
      </c>
      <c r="AT33" s="302">
        <f t="shared" si="30"/>
        <v>0</v>
      </c>
      <c r="AU33" s="302">
        <f t="shared" si="31"/>
        <v>0</v>
      </c>
      <c r="AV33" s="81">
        <f t="shared" si="32"/>
        <v>0</v>
      </c>
      <c r="AW33" s="82">
        <f t="shared" si="33"/>
        <v>0</v>
      </c>
      <c r="AX33" s="81">
        <f t="shared" si="34"/>
        <v>0</v>
      </c>
      <c r="AY33" s="83">
        <f t="shared" si="35"/>
        <v>0</v>
      </c>
      <c r="AZ33" s="83">
        <f t="shared" si="36"/>
        <v>0</v>
      </c>
      <c r="BA33" s="82">
        <f>IF(OR(B33=Feiertage!$A$16,B33=Feiertage!$A$19),U33*Zuschläge_24_31/100,IF(AZ33&gt;0,AZ33*Feiertag_mit/100,IF(AX33&gt;0,AX33*Zuschläge_Sa/100,IF(AY33&gt;0,AY33*Zuschlag_So/100,0))))</f>
        <v>0</v>
      </c>
      <c r="BB33" s="82">
        <f>IF(AND(B33&lt;&gt;0,G33=Voreinstellung_Übersicht!$D$41),IF(EG=1,W33*Über_klein/100,IF(EG=2,W33*Über_groß/100,"Fehler")),0)</f>
        <v>0</v>
      </c>
      <c r="BC33" s="299">
        <f t="shared" ca="1" si="41"/>
        <v>0</v>
      </c>
      <c r="BD33" s="219">
        <f t="shared" ca="1" si="37"/>
        <v>1</v>
      </c>
      <c r="BE33" s="303">
        <f ca="1">IF(B33="","",INDIRECT(ADDRESS(MATCH(B33,Soll_AZ,1)+MATCH("Arbeitszeit 1 ab",Voreinstellung_Übersicht!B:B,0)-1,4,,,"Voreinstellung_Übersicht"),TRUE))</f>
        <v>1.6666666666666665</v>
      </c>
      <c r="BF33" s="1">
        <f t="shared" si="42"/>
        <v>0</v>
      </c>
    </row>
    <row r="34" spans="1:104" x14ac:dyDescent="0.3">
      <c r="A34" s="218">
        <f t="shared" si="0"/>
        <v>5</v>
      </c>
      <c r="B34" s="47">
        <f t="shared" si="38"/>
        <v>42030</v>
      </c>
      <c r="C34" s="219">
        <f t="shared" si="1"/>
        <v>0</v>
      </c>
      <c r="D34" s="220" t="str">
        <f t="shared" si="2"/>
        <v/>
      </c>
      <c r="E34" s="298" t="str">
        <f t="shared" si="3"/>
        <v/>
      </c>
      <c r="F34" s="87">
        <f t="shared" si="4"/>
        <v>42030</v>
      </c>
      <c r="G34" s="147"/>
      <c r="H34" s="74"/>
      <c r="I34" s="75"/>
      <c r="J34" s="221">
        <f t="shared" si="5"/>
        <v>0</v>
      </c>
      <c r="K34" s="76"/>
      <c r="L34" s="221">
        <f t="shared" si="43"/>
        <v>0</v>
      </c>
      <c r="M34" s="74"/>
      <c r="N34" s="75"/>
      <c r="O34" s="221">
        <f t="shared" si="6"/>
        <v>0</v>
      </c>
      <c r="P34" s="76"/>
      <c r="Q34" s="221">
        <f t="shared" si="44"/>
        <v>0</v>
      </c>
      <c r="R34" s="221">
        <f t="shared" si="45"/>
        <v>0</v>
      </c>
      <c r="S34" s="221">
        <f t="shared" si="7"/>
        <v>0</v>
      </c>
      <c r="T34" s="79">
        <f t="shared" si="8"/>
        <v>0</v>
      </c>
      <c r="U34" s="79">
        <f t="shared" si="39"/>
        <v>0</v>
      </c>
      <c r="V34" s="80">
        <f t="shared" ca="1" si="9"/>
        <v>0</v>
      </c>
      <c r="W34" s="249" t="str">
        <f t="shared" ca="1" si="10"/>
        <v/>
      </c>
      <c r="X34" s="293"/>
      <c r="Y34" s="221">
        <f t="shared" si="11"/>
        <v>0</v>
      </c>
      <c r="Z34" s="299">
        <f ca="1">IF(B34="","",INDIRECT(ADDRESS(MATCH(B34,Soll_AZ,1)+MATCH("Arbeitszeit 1 ab",Voreinstellung_Übersicht!B:B,0)-1,WEEKDAY(B34,2)+4,,,"Voreinstellung_Übersicht"),TRUE))</f>
        <v>0</v>
      </c>
      <c r="AA34" s="300">
        <f t="shared" ca="1" si="40"/>
        <v>0</v>
      </c>
      <c r="AB34" s="219">
        <f t="shared" si="12"/>
        <v>0</v>
      </c>
      <c r="AC34" s="219">
        <f t="shared" si="13"/>
        <v>0</v>
      </c>
      <c r="AD34" s="219">
        <f t="shared" si="14"/>
        <v>0</v>
      </c>
      <c r="AE34" s="219">
        <f t="shared" si="15"/>
        <v>0</v>
      </c>
      <c r="AF34" s="219">
        <f t="shared" si="16"/>
        <v>0</v>
      </c>
      <c r="AG34" s="219">
        <f t="shared" si="17"/>
        <v>0</v>
      </c>
      <c r="AH34" s="219">
        <f t="shared" si="18"/>
        <v>0</v>
      </c>
      <c r="AI34" s="219">
        <f t="shared" si="19"/>
        <v>0</v>
      </c>
      <c r="AJ34" s="219">
        <f t="shared" si="20"/>
        <v>0</v>
      </c>
      <c r="AK34" s="219">
        <f t="shared" si="21"/>
        <v>0</v>
      </c>
      <c r="AL34" s="219">
        <f t="shared" si="22"/>
        <v>0</v>
      </c>
      <c r="AM34" s="219">
        <f t="shared" si="23"/>
        <v>0</v>
      </c>
      <c r="AN34" s="301">
        <f t="shared" si="24"/>
        <v>0</v>
      </c>
      <c r="AO34" s="301">
        <f t="shared" si="25"/>
        <v>0</v>
      </c>
      <c r="AP34" s="301">
        <f t="shared" si="26"/>
        <v>0</v>
      </c>
      <c r="AQ34" s="301">
        <f t="shared" si="27"/>
        <v>0</v>
      </c>
      <c r="AR34" s="301">
        <f t="shared" si="28"/>
        <v>0</v>
      </c>
      <c r="AS34" s="301">
        <f t="shared" si="29"/>
        <v>0</v>
      </c>
      <c r="AT34" s="302">
        <f t="shared" si="30"/>
        <v>0</v>
      </c>
      <c r="AU34" s="302">
        <f t="shared" si="31"/>
        <v>0</v>
      </c>
      <c r="AV34" s="81">
        <f t="shared" si="32"/>
        <v>0</v>
      </c>
      <c r="AW34" s="82">
        <f t="shared" si="33"/>
        <v>0</v>
      </c>
      <c r="AX34" s="81">
        <f t="shared" si="34"/>
        <v>0</v>
      </c>
      <c r="AY34" s="83">
        <f t="shared" si="35"/>
        <v>0</v>
      </c>
      <c r="AZ34" s="83">
        <f t="shared" si="36"/>
        <v>0</v>
      </c>
      <c r="BA34" s="82">
        <f>IF(OR(B34=Feiertage!$A$16,B34=Feiertage!$A$19),U34*Zuschläge_24_31/100,IF(AZ34&gt;0,AZ34*Feiertag_mit/100,IF(AX34&gt;0,AX34*Zuschläge_Sa/100,IF(AY34&gt;0,AY34*Zuschlag_So/100,0))))</f>
        <v>0</v>
      </c>
      <c r="BB34" s="82">
        <f>IF(AND(B34&lt;&gt;0,G34=Voreinstellung_Übersicht!$D$41),IF(EG=1,W34*Über_klein/100,IF(EG=2,W34*Über_groß/100,"Fehler")),0)</f>
        <v>0</v>
      </c>
      <c r="BC34" s="299">
        <f t="shared" ca="1" si="41"/>
        <v>0</v>
      </c>
      <c r="BD34" s="219">
        <f t="shared" ca="1" si="37"/>
        <v>1</v>
      </c>
      <c r="BE34" s="303">
        <f ca="1">IF(B34="","",INDIRECT(ADDRESS(MATCH(B34,Soll_AZ,1)+MATCH("Arbeitszeit 1 ab",Voreinstellung_Übersicht!B:B,0)-1,4,,,"Voreinstellung_Übersicht"),TRUE))</f>
        <v>1.6666666666666665</v>
      </c>
      <c r="BF34" s="1">
        <f t="shared" si="42"/>
        <v>0</v>
      </c>
    </row>
    <row r="35" spans="1:104" x14ac:dyDescent="0.3">
      <c r="A35" s="218">
        <f t="shared" si="0"/>
        <v>5</v>
      </c>
      <c r="B35" s="47">
        <f t="shared" si="38"/>
        <v>42031</v>
      </c>
      <c r="C35" s="219">
        <f t="shared" si="1"/>
        <v>1</v>
      </c>
      <c r="D35" s="220" t="str">
        <f t="shared" si="2"/>
        <v/>
      </c>
      <c r="E35" s="298" t="str">
        <f t="shared" si="3"/>
        <v/>
      </c>
      <c r="F35" s="87">
        <f t="shared" si="4"/>
        <v>42031</v>
      </c>
      <c r="G35" s="147"/>
      <c r="H35" s="74"/>
      <c r="I35" s="75"/>
      <c r="J35" s="221">
        <f t="shared" si="5"/>
        <v>0</v>
      </c>
      <c r="K35" s="76"/>
      <c r="L35" s="221">
        <f t="shared" si="43"/>
        <v>0</v>
      </c>
      <c r="M35" s="74"/>
      <c r="N35" s="75"/>
      <c r="O35" s="221">
        <f t="shared" si="6"/>
        <v>0</v>
      </c>
      <c r="P35" s="76"/>
      <c r="Q35" s="221">
        <f t="shared" si="44"/>
        <v>0</v>
      </c>
      <c r="R35" s="221">
        <f t="shared" si="45"/>
        <v>0</v>
      </c>
      <c r="S35" s="221">
        <f t="shared" si="7"/>
        <v>0</v>
      </c>
      <c r="T35" s="79">
        <f t="shared" si="8"/>
        <v>0</v>
      </c>
      <c r="U35" s="79">
        <f t="shared" si="39"/>
        <v>0</v>
      </c>
      <c r="V35" s="80">
        <f t="shared" ca="1" si="9"/>
        <v>0.33333333329999998</v>
      </c>
      <c r="W35" s="249" t="str">
        <f t="shared" ca="1" si="10"/>
        <v/>
      </c>
      <c r="X35" s="293"/>
      <c r="Y35" s="221">
        <f t="shared" si="11"/>
        <v>0</v>
      </c>
      <c r="Z35" s="299">
        <f ca="1">IF(B35="","",INDIRECT(ADDRESS(MATCH(B35,Soll_AZ,1)+MATCH("Arbeitszeit 1 ab",Voreinstellung_Übersicht!B:B,0)-1,WEEKDAY(B35,2)+4,,,"Voreinstellung_Übersicht"),TRUE))</f>
        <v>0.33333333333333331</v>
      </c>
      <c r="AA35" s="300">
        <f t="shared" ca="1" si="40"/>
        <v>0</v>
      </c>
      <c r="AB35" s="219">
        <f t="shared" si="12"/>
        <v>0</v>
      </c>
      <c r="AC35" s="219">
        <f t="shared" si="13"/>
        <v>0</v>
      </c>
      <c r="AD35" s="219">
        <f t="shared" si="14"/>
        <v>0</v>
      </c>
      <c r="AE35" s="219">
        <f t="shared" si="15"/>
        <v>0</v>
      </c>
      <c r="AF35" s="219">
        <f t="shared" si="16"/>
        <v>0</v>
      </c>
      <c r="AG35" s="219">
        <f t="shared" si="17"/>
        <v>0</v>
      </c>
      <c r="AH35" s="219">
        <f t="shared" si="18"/>
        <v>0</v>
      </c>
      <c r="AI35" s="219">
        <f t="shared" si="19"/>
        <v>0</v>
      </c>
      <c r="AJ35" s="219">
        <f t="shared" si="20"/>
        <v>0</v>
      </c>
      <c r="AK35" s="219">
        <f t="shared" si="21"/>
        <v>0</v>
      </c>
      <c r="AL35" s="219">
        <f t="shared" si="22"/>
        <v>0</v>
      </c>
      <c r="AM35" s="219">
        <f t="shared" si="23"/>
        <v>0</v>
      </c>
      <c r="AN35" s="301">
        <f t="shared" si="24"/>
        <v>0</v>
      </c>
      <c r="AO35" s="301">
        <f t="shared" si="25"/>
        <v>0</v>
      </c>
      <c r="AP35" s="301">
        <f t="shared" si="26"/>
        <v>0</v>
      </c>
      <c r="AQ35" s="301">
        <f t="shared" si="27"/>
        <v>0</v>
      </c>
      <c r="AR35" s="301">
        <f t="shared" si="28"/>
        <v>0</v>
      </c>
      <c r="AS35" s="301">
        <f t="shared" si="29"/>
        <v>0</v>
      </c>
      <c r="AT35" s="302">
        <f t="shared" si="30"/>
        <v>0</v>
      </c>
      <c r="AU35" s="302">
        <f t="shared" si="31"/>
        <v>0</v>
      </c>
      <c r="AV35" s="81">
        <f t="shared" si="32"/>
        <v>0</v>
      </c>
      <c r="AW35" s="82">
        <f t="shared" si="33"/>
        <v>0</v>
      </c>
      <c r="AX35" s="81">
        <f t="shared" si="34"/>
        <v>0</v>
      </c>
      <c r="AY35" s="83">
        <f t="shared" si="35"/>
        <v>0</v>
      </c>
      <c r="AZ35" s="83">
        <f t="shared" si="36"/>
        <v>0</v>
      </c>
      <c r="BA35" s="82">
        <f>IF(OR(B35=Feiertage!$A$16,B35=Feiertage!$A$19),U35*Zuschläge_24_31/100,IF(AZ35&gt;0,AZ35*Feiertag_mit/100,IF(AX35&gt;0,AX35*Zuschläge_Sa/100,IF(AY35&gt;0,AY35*Zuschlag_So/100,0))))</f>
        <v>0</v>
      </c>
      <c r="BB35" s="82">
        <f>IF(AND(B35&lt;&gt;0,G35=Voreinstellung_Übersicht!$D$41),IF(EG=1,W35*Über_klein/100,IF(EG=2,W35*Über_groß/100,"Fehler")),0)</f>
        <v>0</v>
      </c>
      <c r="BC35" s="299">
        <f t="shared" ca="1" si="41"/>
        <v>0</v>
      </c>
      <c r="BD35" s="219">
        <f t="shared" ca="1" si="37"/>
        <v>1</v>
      </c>
      <c r="BE35" s="303">
        <f ca="1">IF(B35="","",INDIRECT(ADDRESS(MATCH(B35,Soll_AZ,1)+MATCH("Arbeitszeit 1 ab",Voreinstellung_Übersicht!B:B,0)-1,4,,,"Voreinstellung_Übersicht"),TRUE))</f>
        <v>1.6666666666666665</v>
      </c>
      <c r="BF35" s="1">
        <f t="shared" si="42"/>
        <v>0</v>
      </c>
    </row>
    <row r="36" spans="1:104" x14ac:dyDescent="0.3">
      <c r="A36" s="218">
        <f t="shared" si="0"/>
        <v>5</v>
      </c>
      <c r="B36" s="47">
        <f t="shared" si="38"/>
        <v>42032</v>
      </c>
      <c r="C36" s="219">
        <f t="shared" si="1"/>
        <v>1</v>
      </c>
      <c r="D36" s="220" t="str">
        <f t="shared" si="2"/>
        <v/>
      </c>
      <c r="E36" s="298" t="str">
        <f t="shared" si="3"/>
        <v/>
      </c>
      <c r="F36" s="87">
        <f t="shared" si="4"/>
        <v>42032</v>
      </c>
      <c r="G36" s="147"/>
      <c r="H36" s="74"/>
      <c r="I36" s="75"/>
      <c r="J36" s="221">
        <f t="shared" si="5"/>
        <v>0</v>
      </c>
      <c r="K36" s="76"/>
      <c r="L36" s="221">
        <f t="shared" si="43"/>
        <v>0</v>
      </c>
      <c r="M36" s="74"/>
      <c r="N36" s="75"/>
      <c r="O36" s="221">
        <f t="shared" si="6"/>
        <v>0</v>
      </c>
      <c r="P36" s="76"/>
      <c r="Q36" s="221">
        <f t="shared" si="44"/>
        <v>0</v>
      </c>
      <c r="R36" s="221">
        <f t="shared" si="45"/>
        <v>0</v>
      </c>
      <c r="S36" s="221">
        <f t="shared" si="7"/>
        <v>0</v>
      </c>
      <c r="T36" s="79">
        <f t="shared" si="8"/>
        <v>0</v>
      </c>
      <c r="U36" s="79">
        <f t="shared" si="39"/>
        <v>0</v>
      </c>
      <c r="V36" s="80">
        <f t="shared" ca="1" si="9"/>
        <v>0.33333333329999998</v>
      </c>
      <c r="W36" s="249" t="str">
        <f t="shared" ca="1" si="10"/>
        <v/>
      </c>
      <c r="X36" s="293"/>
      <c r="Y36" s="221">
        <f t="shared" si="11"/>
        <v>0</v>
      </c>
      <c r="Z36" s="299">
        <f ca="1">IF(B36="","",INDIRECT(ADDRESS(MATCH(B36,Soll_AZ,1)+MATCH("Arbeitszeit 1 ab",Voreinstellung_Übersicht!B:B,0)-1,WEEKDAY(B36,2)+4,,,"Voreinstellung_Übersicht"),TRUE))</f>
        <v>0.33333333333333331</v>
      </c>
      <c r="AA36" s="300">
        <f t="shared" ca="1" si="40"/>
        <v>0</v>
      </c>
      <c r="AB36" s="219">
        <f t="shared" si="12"/>
        <v>0</v>
      </c>
      <c r="AC36" s="219">
        <f t="shared" si="13"/>
        <v>0</v>
      </c>
      <c r="AD36" s="219">
        <f t="shared" si="14"/>
        <v>0</v>
      </c>
      <c r="AE36" s="219">
        <f t="shared" si="15"/>
        <v>0</v>
      </c>
      <c r="AF36" s="219">
        <f t="shared" si="16"/>
        <v>0</v>
      </c>
      <c r="AG36" s="219">
        <f t="shared" si="17"/>
        <v>0</v>
      </c>
      <c r="AH36" s="219">
        <f t="shared" si="18"/>
        <v>0</v>
      </c>
      <c r="AI36" s="219">
        <f t="shared" si="19"/>
        <v>0</v>
      </c>
      <c r="AJ36" s="219">
        <f t="shared" si="20"/>
        <v>0</v>
      </c>
      <c r="AK36" s="219">
        <f t="shared" si="21"/>
        <v>0</v>
      </c>
      <c r="AL36" s="219">
        <f t="shared" si="22"/>
        <v>0</v>
      </c>
      <c r="AM36" s="219">
        <f t="shared" si="23"/>
        <v>0</v>
      </c>
      <c r="AN36" s="301">
        <f t="shared" si="24"/>
        <v>0</v>
      </c>
      <c r="AO36" s="301">
        <f t="shared" si="25"/>
        <v>0</v>
      </c>
      <c r="AP36" s="301">
        <f t="shared" si="26"/>
        <v>0</v>
      </c>
      <c r="AQ36" s="301">
        <f t="shared" si="27"/>
        <v>0</v>
      </c>
      <c r="AR36" s="301">
        <f t="shared" si="28"/>
        <v>0</v>
      </c>
      <c r="AS36" s="301">
        <f t="shared" si="29"/>
        <v>0</v>
      </c>
      <c r="AT36" s="302">
        <f t="shared" si="30"/>
        <v>0</v>
      </c>
      <c r="AU36" s="302">
        <f t="shared" si="31"/>
        <v>0</v>
      </c>
      <c r="AV36" s="81">
        <f t="shared" si="32"/>
        <v>0</v>
      </c>
      <c r="AW36" s="82">
        <f t="shared" si="33"/>
        <v>0</v>
      </c>
      <c r="AX36" s="81">
        <f t="shared" si="34"/>
        <v>0</v>
      </c>
      <c r="AY36" s="83">
        <f t="shared" si="35"/>
        <v>0</v>
      </c>
      <c r="AZ36" s="83">
        <f t="shared" si="36"/>
        <v>0</v>
      </c>
      <c r="BA36" s="82">
        <f>IF(OR(B36=Feiertage!$A$16,B36=Feiertage!$A$19),U36*Zuschläge_24_31/100,IF(AZ36&gt;0,AZ36*Feiertag_mit/100,IF(AX36&gt;0,AX36*Zuschläge_Sa/100,IF(AY36&gt;0,AY36*Zuschlag_So/100,0))))</f>
        <v>0</v>
      </c>
      <c r="BB36" s="82">
        <f>IF(AND(B36&lt;&gt;0,G36=Voreinstellung_Übersicht!$D$41),IF(EG=1,W36*Über_klein/100,IF(EG=2,W36*Über_groß/100,"Fehler")),0)</f>
        <v>0</v>
      </c>
      <c r="BC36" s="299">
        <f t="shared" ca="1" si="41"/>
        <v>0</v>
      </c>
      <c r="BD36" s="219">
        <f t="shared" ca="1" si="37"/>
        <v>1</v>
      </c>
      <c r="BE36" s="303">
        <f ca="1">IF(B36="","",INDIRECT(ADDRESS(MATCH(B36,Soll_AZ,1)+MATCH("Arbeitszeit 1 ab",Voreinstellung_Übersicht!B:B,0)-1,4,,,"Voreinstellung_Übersicht"),TRUE))</f>
        <v>1.6666666666666665</v>
      </c>
      <c r="BF36" s="1">
        <f t="shared" si="42"/>
        <v>0</v>
      </c>
    </row>
    <row r="37" spans="1:104" x14ac:dyDescent="0.3">
      <c r="A37" s="218">
        <f t="shared" si="0"/>
        <v>5</v>
      </c>
      <c r="B37" s="47">
        <f t="shared" si="38"/>
        <v>42033</v>
      </c>
      <c r="C37" s="219">
        <f t="shared" si="1"/>
        <v>1</v>
      </c>
      <c r="D37" s="220" t="str">
        <f t="shared" si="2"/>
        <v/>
      </c>
      <c r="E37" s="298" t="str">
        <f t="shared" si="3"/>
        <v/>
      </c>
      <c r="F37" s="87">
        <f t="shared" si="4"/>
        <v>42033</v>
      </c>
      <c r="G37" s="147"/>
      <c r="H37" s="74"/>
      <c r="I37" s="75"/>
      <c r="J37" s="221">
        <f t="shared" si="5"/>
        <v>0</v>
      </c>
      <c r="K37" s="76"/>
      <c r="L37" s="221">
        <f t="shared" si="43"/>
        <v>0</v>
      </c>
      <c r="M37" s="74"/>
      <c r="N37" s="75"/>
      <c r="O37" s="221">
        <f t="shared" si="6"/>
        <v>0</v>
      </c>
      <c r="P37" s="76"/>
      <c r="Q37" s="221">
        <f t="shared" si="44"/>
        <v>0</v>
      </c>
      <c r="R37" s="221">
        <f t="shared" si="45"/>
        <v>0</v>
      </c>
      <c r="S37" s="221">
        <f t="shared" si="7"/>
        <v>0</v>
      </c>
      <c r="T37" s="79">
        <f t="shared" si="8"/>
        <v>0</v>
      </c>
      <c r="U37" s="79">
        <f t="shared" si="39"/>
        <v>0</v>
      </c>
      <c r="V37" s="80">
        <f t="shared" ca="1" si="9"/>
        <v>0.33333333329999998</v>
      </c>
      <c r="W37" s="249" t="str">
        <f t="shared" ca="1" si="10"/>
        <v/>
      </c>
      <c r="X37" s="293"/>
      <c r="Y37" s="221">
        <f t="shared" si="11"/>
        <v>0</v>
      </c>
      <c r="Z37" s="299">
        <f ca="1">IF(B37="","",INDIRECT(ADDRESS(MATCH(B37,Soll_AZ,1)+MATCH("Arbeitszeit 1 ab",Voreinstellung_Übersicht!B:B,0)-1,WEEKDAY(B37,2)+4,,,"Voreinstellung_Übersicht"),TRUE))</f>
        <v>0.33333333333333331</v>
      </c>
      <c r="AA37" s="300">
        <f t="shared" ca="1" si="40"/>
        <v>0</v>
      </c>
      <c r="AB37" s="219">
        <f t="shared" si="12"/>
        <v>0</v>
      </c>
      <c r="AC37" s="219">
        <f t="shared" si="13"/>
        <v>0</v>
      </c>
      <c r="AD37" s="219">
        <f t="shared" si="14"/>
        <v>0</v>
      </c>
      <c r="AE37" s="219">
        <f t="shared" si="15"/>
        <v>0</v>
      </c>
      <c r="AF37" s="219">
        <f t="shared" si="16"/>
        <v>0</v>
      </c>
      <c r="AG37" s="219">
        <f t="shared" si="17"/>
        <v>0</v>
      </c>
      <c r="AH37" s="219">
        <f t="shared" si="18"/>
        <v>0</v>
      </c>
      <c r="AI37" s="219">
        <f t="shared" si="19"/>
        <v>0</v>
      </c>
      <c r="AJ37" s="219">
        <f t="shared" si="20"/>
        <v>0</v>
      </c>
      <c r="AK37" s="219">
        <f t="shared" si="21"/>
        <v>0</v>
      </c>
      <c r="AL37" s="219">
        <f t="shared" si="22"/>
        <v>0</v>
      </c>
      <c r="AM37" s="219">
        <f t="shared" si="23"/>
        <v>0</v>
      </c>
      <c r="AN37" s="301">
        <f t="shared" si="24"/>
        <v>0</v>
      </c>
      <c r="AO37" s="301">
        <f t="shared" si="25"/>
        <v>0</v>
      </c>
      <c r="AP37" s="301">
        <f t="shared" si="26"/>
        <v>0</v>
      </c>
      <c r="AQ37" s="301">
        <f t="shared" si="27"/>
        <v>0</v>
      </c>
      <c r="AR37" s="301">
        <f t="shared" si="28"/>
        <v>0</v>
      </c>
      <c r="AS37" s="301">
        <f t="shared" si="29"/>
        <v>0</v>
      </c>
      <c r="AT37" s="302">
        <f t="shared" si="30"/>
        <v>0</v>
      </c>
      <c r="AU37" s="302">
        <f t="shared" si="31"/>
        <v>0</v>
      </c>
      <c r="AV37" s="81">
        <f t="shared" si="32"/>
        <v>0</v>
      </c>
      <c r="AW37" s="82">
        <f t="shared" si="33"/>
        <v>0</v>
      </c>
      <c r="AX37" s="81">
        <f t="shared" si="34"/>
        <v>0</v>
      </c>
      <c r="AY37" s="83">
        <f t="shared" si="35"/>
        <v>0</v>
      </c>
      <c r="AZ37" s="83">
        <f t="shared" si="36"/>
        <v>0</v>
      </c>
      <c r="BA37" s="82">
        <f>IF(OR(B37=Feiertage!$A$16,B37=Feiertage!$A$19),U37*Zuschläge_24_31/100,IF(AZ37&gt;0,AZ37*Feiertag_mit/100,IF(AX37&gt;0,AX37*Zuschläge_Sa/100,IF(AY37&gt;0,AY37*Zuschlag_So/100,0))))</f>
        <v>0</v>
      </c>
      <c r="BB37" s="82">
        <f>IF(AND(B37&lt;&gt;0,G37=Voreinstellung_Übersicht!$D$41),IF(EG=1,W37*Über_klein/100,IF(EG=2,W37*Über_groß/100,"Fehler")),0)</f>
        <v>0</v>
      </c>
      <c r="BC37" s="299">
        <f t="shared" ca="1" si="41"/>
        <v>0</v>
      </c>
      <c r="BD37" s="219">
        <f t="shared" ca="1" si="37"/>
        <v>1</v>
      </c>
      <c r="BE37" s="303">
        <f ca="1">IF(B37="","",INDIRECT(ADDRESS(MATCH(B37,Soll_AZ,1)+MATCH("Arbeitszeit 1 ab",Voreinstellung_Übersicht!B:B,0)-1,4,,,"Voreinstellung_Übersicht"),TRUE))</f>
        <v>1.6666666666666665</v>
      </c>
      <c r="BF37" s="1">
        <f t="shared" si="42"/>
        <v>0</v>
      </c>
    </row>
    <row r="38" spans="1:104" s="172" customFormat="1" x14ac:dyDescent="0.3">
      <c r="A38" s="229">
        <f t="shared" si="0"/>
        <v>5</v>
      </c>
      <c r="B38" s="217">
        <f t="shared" si="38"/>
        <v>42034</v>
      </c>
      <c r="C38" s="230">
        <f t="shared" si="1"/>
        <v>1</v>
      </c>
      <c r="D38" s="231" t="str">
        <f t="shared" si="2"/>
        <v/>
      </c>
      <c r="E38" s="304" t="str">
        <f t="shared" si="3"/>
        <v/>
      </c>
      <c r="F38" s="216">
        <f t="shared" si="4"/>
        <v>42034</v>
      </c>
      <c r="G38" s="147"/>
      <c r="H38" s="77"/>
      <c r="I38" s="75"/>
      <c r="J38" s="221">
        <f t="shared" si="5"/>
        <v>0</v>
      </c>
      <c r="K38" s="76"/>
      <c r="L38" s="221">
        <f t="shared" si="43"/>
        <v>0</v>
      </c>
      <c r="M38" s="77"/>
      <c r="N38" s="215"/>
      <c r="O38" s="232">
        <f t="shared" si="6"/>
        <v>0</v>
      </c>
      <c r="P38" s="78"/>
      <c r="Q38" s="221">
        <f t="shared" si="44"/>
        <v>0</v>
      </c>
      <c r="R38" s="221">
        <f t="shared" si="45"/>
        <v>0</v>
      </c>
      <c r="S38" s="221">
        <f t="shared" si="7"/>
        <v>0</v>
      </c>
      <c r="T38" s="79">
        <f t="shared" si="8"/>
        <v>0</v>
      </c>
      <c r="U38" s="79">
        <f t="shared" si="39"/>
        <v>0</v>
      </c>
      <c r="V38" s="80">
        <f t="shared" ca="1" si="9"/>
        <v>0.33333333329999998</v>
      </c>
      <c r="W38" s="249" t="str">
        <f t="shared" ca="1" si="10"/>
        <v/>
      </c>
      <c r="X38" s="294"/>
      <c r="Y38" s="221">
        <f t="shared" si="11"/>
        <v>0</v>
      </c>
      <c r="Z38" s="299">
        <f ca="1">IF(B38="","",INDIRECT(ADDRESS(MATCH(B38,Soll_AZ,1)+MATCH("Arbeitszeit 1 ab",Voreinstellung_Übersicht!B:B,0)-1,WEEKDAY(B38,2)+4,,,"Voreinstellung_Übersicht"),TRUE))</f>
        <v>0.33333333333333331</v>
      </c>
      <c r="AA38" s="300">
        <f t="shared" ca="1" si="40"/>
        <v>0</v>
      </c>
      <c r="AB38" s="219">
        <f t="shared" si="12"/>
        <v>0</v>
      </c>
      <c r="AC38" s="219">
        <f t="shared" si="13"/>
        <v>0</v>
      </c>
      <c r="AD38" s="219">
        <f t="shared" si="14"/>
        <v>0</v>
      </c>
      <c r="AE38" s="219">
        <f t="shared" si="15"/>
        <v>0</v>
      </c>
      <c r="AF38" s="219">
        <f t="shared" si="16"/>
        <v>0</v>
      </c>
      <c r="AG38" s="219">
        <f t="shared" si="17"/>
        <v>0</v>
      </c>
      <c r="AH38" s="219">
        <f t="shared" si="18"/>
        <v>0</v>
      </c>
      <c r="AI38" s="219">
        <f t="shared" si="19"/>
        <v>0</v>
      </c>
      <c r="AJ38" s="219">
        <f t="shared" si="20"/>
        <v>0</v>
      </c>
      <c r="AK38" s="219">
        <f t="shared" si="21"/>
        <v>0</v>
      </c>
      <c r="AL38" s="219">
        <f t="shared" si="22"/>
        <v>0</v>
      </c>
      <c r="AM38" s="219">
        <f t="shared" si="23"/>
        <v>0</v>
      </c>
      <c r="AN38" s="301">
        <f t="shared" si="24"/>
        <v>0</v>
      </c>
      <c r="AO38" s="301">
        <f t="shared" si="25"/>
        <v>0</v>
      </c>
      <c r="AP38" s="301">
        <f t="shared" si="26"/>
        <v>0</v>
      </c>
      <c r="AQ38" s="301">
        <f t="shared" si="27"/>
        <v>0</v>
      </c>
      <c r="AR38" s="301">
        <f t="shared" si="28"/>
        <v>0</v>
      </c>
      <c r="AS38" s="301">
        <f t="shared" si="29"/>
        <v>0</v>
      </c>
      <c r="AT38" s="302">
        <f t="shared" si="30"/>
        <v>0</v>
      </c>
      <c r="AU38" s="302">
        <f t="shared" si="31"/>
        <v>0</v>
      </c>
      <c r="AV38" s="81">
        <f t="shared" si="32"/>
        <v>0</v>
      </c>
      <c r="AW38" s="82">
        <f t="shared" si="33"/>
        <v>0</v>
      </c>
      <c r="AX38" s="81">
        <f t="shared" si="34"/>
        <v>0</v>
      </c>
      <c r="AY38" s="212">
        <f t="shared" si="35"/>
        <v>0</v>
      </c>
      <c r="AZ38" s="212">
        <f t="shared" si="36"/>
        <v>0</v>
      </c>
      <c r="BA38" s="213">
        <f>IF(OR(B38=Feiertage!$A$16,B38=Feiertage!$A$19),U38*Zuschläge_24_31/100,IF(AZ38&gt;0,AZ38*Feiertag_mit/100,IF(AX38&gt;0,AX38*Zuschläge_Sa/100,IF(AY38&gt;0,AY38*Zuschlag_So/100,0))))</f>
        <v>0</v>
      </c>
      <c r="BB38" s="213">
        <f>IF(AND(B38&lt;&gt;0,G38=Voreinstellung_Übersicht!$D$41),IF(EG=1,W38*Über_klein/100,IF(EG=2,W38*Über_groß/100,"Fehler")),0)</f>
        <v>0</v>
      </c>
      <c r="BC38" s="305">
        <f t="shared" ca="1" si="41"/>
        <v>0</v>
      </c>
      <c r="BD38" s="219">
        <f t="shared" ca="1" si="37"/>
        <v>1</v>
      </c>
      <c r="BE38" s="306">
        <f ca="1">IF(B38="","",INDIRECT(ADDRESS(MATCH(B38,Soll_AZ,1)+MATCH("Arbeitszeit 1 ab",Voreinstellung_Übersicht!B:B,0)-1,4,,,"Voreinstellung_Übersicht"),TRUE))</f>
        <v>1.6666666666666665</v>
      </c>
      <c r="BF38" s="1">
        <f t="shared" si="42"/>
        <v>0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customFormat="1" x14ac:dyDescent="0.25">
      <c r="A39" s="233"/>
      <c r="B39" s="233"/>
      <c r="C39" s="233"/>
      <c r="D39" s="233"/>
      <c r="E39" s="233"/>
      <c r="F39" s="488" t="s">
        <v>49</v>
      </c>
      <c r="G39" s="489"/>
      <c r="H39" s="482" t="s">
        <v>171</v>
      </c>
      <c r="I39" s="483"/>
      <c r="J39" s="307"/>
      <c r="K39" s="308">
        <f>AB39</f>
        <v>0</v>
      </c>
      <c r="L39" s="221"/>
      <c r="M39" s="206"/>
      <c r="N39" s="206"/>
      <c r="O39" s="221"/>
      <c r="P39" s="206"/>
      <c r="Q39" s="221"/>
      <c r="R39" s="221"/>
      <c r="S39" s="221"/>
      <c r="T39" s="479" t="s">
        <v>172</v>
      </c>
      <c r="U39" s="482" t="s">
        <v>171</v>
      </c>
      <c r="V39" s="483"/>
      <c r="W39" s="234">
        <f>Übertrag_Mehrarbeit</f>
        <v>0</v>
      </c>
      <c r="X39" s="309"/>
      <c r="Y39" s="221" t="s">
        <v>173</v>
      </c>
      <c r="Z39" s="299" t="s">
        <v>174</v>
      </c>
      <c r="AA39" s="300"/>
      <c r="AB39" s="219">
        <f>Urlaub_Vorjahr+Voreinstellung_Übersicht!D15</f>
        <v>0</v>
      </c>
      <c r="AC39" s="219" t="s">
        <v>175</v>
      </c>
      <c r="AD39" s="219" t="s">
        <v>175</v>
      </c>
      <c r="AE39" s="219" t="s">
        <v>175</v>
      </c>
      <c r="AF39" s="219" t="s">
        <v>175</v>
      </c>
      <c r="AG39" s="219" t="s">
        <v>175</v>
      </c>
      <c r="AH39" s="219" t="s">
        <v>175</v>
      </c>
      <c r="AI39" s="219" t="s">
        <v>175</v>
      </c>
      <c r="AJ39" s="219" t="s">
        <v>175</v>
      </c>
      <c r="AK39" s="219" t="s">
        <v>175</v>
      </c>
      <c r="AL39" s="219" t="s">
        <v>175</v>
      </c>
      <c r="AM39" s="219" t="s">
        <v>175</v>
      </c>
      <c r="AN39" s="301"/>
      <c r="AO39" s="301"/>
      <c r="AP39" s="301"/>
      <c r="AQ39" s="301"/>
      <c r="AR39" s="301"/>
      <c r="AS39" s="301"/>
      <c r="AT39" s="302"/>
      <c r="AU39" s="302"/>
      <c r="AV39" s="484" t="s">
        <v>176</v>
      </c>
      <c r="AW39" s="234">
        <f>Voreinstellung_Übersicht!H12</f>
        <v>0</v>
      </c>
      <c r="AX39" s="310">
        <f>IF(AZ_Konto,SUM(AW8:AW38),0)</f>
        <v>0</v>
      </c>
      <c r="AY39" s="311"/>
      <c r="AZ39" s="312"/>
      <c r="BA39" s="311">
        <f>IF(AZ_Konto,SUM(BA8:BA38),0)</f>
        <v>0</v>
      </c>
      <c r="BB39" s="311">
        <f>IF(AZ_Konto,SUM(BB8:BB38),0)</f>
        <v>0</v>
      </c>
      <c r="BC39" s="299">
        <f ca="1">BC38</f>
        <v>0</v>
      </c>
      <c r="BD39" s="219"/>
      <c r="BE39" s="303"/>
    </row>
    <row r="40" spans="1:104" customFormat="1" x14ac:dyDescent="0.25">
      <c r="A40" s="233"/>
      <c r="B40" s="233"/>
      <c r="C40" s="233"/>
      <c r="D40" s="233"/>
      <c r="E40" s="233"/>
      <c r="F40" s="488"/>
      <c r="G40" s="490"/>
      <c r="H40" s="482" t="s">
        <v>177</v>
      </c>
      <c r="I40" s="483"/>
      <c r="J40" s="235"/>
      <c r="K40" s="236">
        <f>-AB40</f>
        <v>0</v>
      </c>
      <c r="L40" s="221"/>
      <c r="M40" s="206"/>
      <c r="N40" s="206"/>
      <c r="O40" s="221"/>
      <c r="P40" s="206"/>
      <c r="Q40" s="221"/>
      <c r="R40" s="221"/>
      <c r="S40" s="221"/>
      <c r="T40" s="480"/>
      <c r="U40" s="482" t="s">
        <v>177</v>
      </c>
      <c r="V40" s="483"/>
      <c r="W40" s="237">
        <f ca="1">SUM(W8:W38)</f>
        <v>0</v>
      </c>
      <c r="X40" s="309"/>
      <c r="Y40" s="221">
        <f>SUM(Y8:Y38)</f>
        <v>0</v>
      </c>
      <c r="Z40" s="299">
        <f ca="1">SUM(Z8:Z38)</f>
        <v>7.6666666666666634</v>
      </c>
      <c r="AA40" s="300"/>
      <c r="AB40" s="219">
        <f t="shared" ref="AB40:AM40" si="46">SUM(AB8:AB38)</f>
        <v>0</v>
      </c>
      <c r="AC40" s="219">
        <f t="shared" si="46"/>
        <v>0</v>
      </c>
      <c r="AD40" s="219">
        <f t="shared" si="46"/>
        <v>0</v>
      </c>
      <c r="AE40" s="219">
        <f t="shared" si="46"/>
        <v>0</v>
      </c>
      <c r="AF40" s="219">
        <f t="shared" si="46"/>
        <v>0</v>
      </c>
      <c r="AG40" s="219">
        <f t="shared" si="46"/>
        <v>0</v>
      </c>
      <c r="AH40" s="219">
        <f t="shared" si="46"/>
        <v>0</v>
      </c>
      <c r="AI40" s="219">
        <f t="shared" si="46"/>
        <v>0</v>
      </c>
      <c r="AJ40" s="219">
        <f t="shared" si="46"/>
        <v>0</v>
      </c>
      <c r="AK40" s="219">
        <f t="shared" si="46"/>
        <v>0</v>
      </c>
      <c r="AL40" s="219">
        <f t="shared" si="46"/>
        <v>0</v>
      </c>
      <c r="AM40" s="219">
        <f t="shared" si="46"/>
        <v>0</v>
      </c>
      <c r="AN40" s="301"/>
      <c r="AO40" s="301"/>
      <c r="AP40" s="301"/>
      <c r="AQ40" s="301"/>
      <c r="AR40" s="301"/>
      <c r="AS40" s="301"/>
      <c r="AT40" s="302"/>
      <c r="AU40" s="302"/>
      <c r="AV40" s="485"/>
      <c r="AW40" s="237" t="str">
        <f>IF(SUM(AX39,BA39,BB39)&gt;0,SUM(AX39,BA39,BB39),"")</f>
        <v/>
      </c>
      <c r="AX40" s="313"/>
      <c r="AY40" s="313"/>
      <c r="AZ40" s="313"/>
      <c r="BA40" s="313"/>
      <c r="BB40" s="313"/>
      <c r="BC40" s="299"/>
      <c r="BD40" s="219"/>
      <c r="BE40" s="303"/>
    </row>
    <row r="41" spans="1:104" customFormat="1" x14ac:dyDescent="0.25">
      <c r="A41" s="233"/>
      <c r="B41" s="233"/>
      <c r="C41" s="233"/>
      <c r="D41" s="233"/>
      <c r="E41" s="233"/>
      <c r="F41" s="491"/>
      <c r="G41" s="492"/>
      <c r="H41" s="482" t="s">
        <v>178</v>
      </c>
      <c r="I41" s="483"/>
      <c r="J41" s="238"/>
      <c r="K41" s="239">
        <f>AB41</f>
        <v>0</v>
      </c>
      <c r="L41" s="221"/>
      <c r="M41" s="206"/>
      <c r="N41" s="206"/>
      <c r="O41" s="221"/>
      <c r="P41" s="206"/>
      <c r="Q41" s="221"/>
      <c r="R41" s="221"/>
      <c r="S41" s="221"/>
      <c r="T41" s="481"/>
      <c r="U41" s="482" t="s">
        <v>178</v>
      </c>
      <c r="V41" s="483"/>
      <c r="W41" s="240">
        <f ca="1">SUM(W39:W40)</f>
        <v>0</v>
      </c>
      <c r="X41" s="309"/>
      <c r="Y41" s="221"/>
      <c r="Z41" s="299"/>
      <c r="AA41" s="300"/>
      <c r="AB41" s="219">
        <f>AB39-AB40</f>
        <v>0</v>
      </c>
      <c r="AC41" s="219">
        <f t="shared" ref="AC41:AM41" si="47">SUM(AC39:AC40)</f>
        <v>0</v>
      </c>
      <c r="AD41" s="219">
        <f t="shared" si="47"/>
        <v>0</v>
      </c>
      <c r="AE41" s="219">
        <f t="shared" si="47"/>
        <v>0</v>
      </c>
      <c r="AF41" s="219">
        <f t="shared" si="47"/>
        <v>0</v>
      </c>
      <c r="AG41" s="219">
        <f t="shared" si="47"/>
        <v>0</v>
      </c>
      <c r="AH41" s="219">
        <f t="shared" si="47"/>
        <v>0</v>
      </c>
      <c r="AI41" s="219">
        <f t="shared" si="47"/>
        <v>0</v>
      </c>
      <c r="AJ41" s="219">
        <f t="shared" si="47"/>
        <v>0</v>
      </c>
      <c r="AK41" s="219">
        <f t="shared" si="47"/>
        <v>0</v>
      </c>
      <c r="AL41" s="219">
        <f t="shared" si="47"/>
        <v>0</v>
      </c>
      <c r="AM41" s="219">
        <f t="shared" si="47"/>
        <v>0</v>
      </c>
      <c r="AN41" s="301"/>
      <c r="AO41" s="301"/>
      <c r="AP41" s="301"/>
      <c r="AQ41" s="301"/>
      <c r="AR41" s="301"/>
      <c r="AS41" s="301"/>
      <c r="AT41" s="302"/>
      <c r="AU41" s="302"/>
      <c r="AV41" s="486"/>
      <c r="AW41" s="240">
        <f>SUM(AW39:AW40)</f>
        <v>0</v>
      </c>
      <c r="AX41" s="314"/>
      <c r="AY41" s="314"/>
      <c r="AZ41" s="314"/>
      <c r="BA41" s="314"/>
      <c r="BB41" s="314"/>
      <c r="BC41" s="299"/>
      <c r="BD41" s="219"/>
      <c r="BE41" s="303"/>
    </row>
    <row r="42" spans="1:104" x14ac:dyDescent="0.3">
      <c r="A42" s="88"/>
      <c r="D42" s="89"/>
      <c r="E42" s="90"/>
      <c r="F42" s="487" t="s">
        <v>179</v>
      </c>
      <c r="G42" s="487"/>
      <c r="H42" s="487"/>
      <c r="I42" s="487"/>
      <c r="J42" s="347"/>
      <c r="K42" s="186">
        <f>NETWORKDAYS(B8,B38,Feiertage)</f>
        <v>22</v>
      </c>
      <c r="L42" s="331"/>
      <c r="M42" s="330"/>
      <c r="N42" s="330"/>
      <c r="O42" s="331"/>
      <c r="P42" s="330"/>
      <c r="Q42" s="331"/>
      <c r="R42" s="331"/>
      <c r="S42" s="331"/>
      <c r="T42" s="332"/>
      <c r="U42" s="332"/>
      <c r="V42" s="332"/>
      <c r="W42" s="332"/>
      <c r="X42" s="333"/>
      <c r="Y42" s="331"/>
      <c r="Z42" s="334"/>
      <c r="AA42" s="335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7"/>
      <c r="AO42" s="337"/>
      <c r="AP42" s="337"/>
      <c r="AQ42" s="337"/>
      <c r="AR42" s="337"/>
      <c r="AS42" s="337"/>
      <c r="AT42" s="338"/>
      <c r="AU42" s="338"/>
      <c r="AV42" s="339"/>
      <c r="AW42" s="340"/>
      <c r="AX42" s="83"/>
      <c r="AY42" s="83"/>
      <c r="AZ42" s="83"/>
      <c r="BA42" s="173"/>
      <c r="BB42" s="173"/>
      <c r="BC42" s="15"/>
      <c r="BE42" s="169"/>
    </row>
    <row r="43" spans="1:104" x14ac:dyDescent="0.3">
      <c r="F43" s="487" t="s">
        <v>180</v>
      </c>
      <c r="G43" s="487"/>
      <c r="H43" s="487"/>
      <c r="I43" s="487"/>
      <c r="J43" s="348"/>
      <c r="K43" s="186">
        <f>SUM(BF8:BF38)</f>
        <v>0</v>
      </c>
      <c r="L43" s="336"/>
      <c r="M43" s="341"/>
      <c r="N43" s="341"/>
      <c r="O43" s="336"/>
      <c r="P43" s="341"/>
      <c r="Q43" s="336"/>
      <c r="R43" s="336"/>
      <c r="S43" s="336"/>
      <c r="T43" s="341"/>
      <c r="U43" s="341"/>
      <c r="V43" s="341"/>
      <c r="W43" s="341"/>
      <c r="X43" s="342"/>
      <c r="Y43" s="331"/>
      <c r="Z43" s="343"/>
      <c r="AA43" s="344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45"/>
      <c r="AO43" s="336"/>
      <c r="AP43" s="336"/>
      <c r="AQ43" s="336"/>
      <c r="AR43" s="336"/>
      <c r="AS43" s="336"/>
      <c r="AT43" s="346"/>
      <c r="AU43" s="346"/>
      <c r="AV43" s="341"/>
      <c r="AW43" s="341"/>
    </row>
    <row r="44" spans="1:104" x14ac:dyDescent="0.3">
      <c r="F44" s="329"/>
      <c r="G44" s="329"/>
      <c r="H44" s="341"/>
      <c r="I44" s="341"/>
      <c r="J44" s="336"/>
      <c r="K44" s="341"/>
      <c r="L44" s="336"/>
      <c r="M44" s="341"/>
      <c r="N44" s="341"/>
      <c r="O44" s="336"/>
      <c r="P44" s="341"/>
      <c r="Q44" s="336"/>
      <c r="R44" s="336"/>
      <c r="S44" s="336"/>
      <c r="T44" s="341"/>
      <c r="U44" s="341"/>
      <c r="V44" s="341"/>
      <c r="W44" s="341"/>
      <c r="X44" s="342"/>
      <c r="Y44" s="331"/>
      <c r="Z44" s="343"/>
      <c r="AA44" s="344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45"/>
      <c r="AO44" s="336"/>
      <c r="AP44" s="336"/>
      <c r="AQ44" s="336"/>
      <c r="AR44" s="336"/>
      <c r="AS44" s="336"/>
      <c r="AT44" s="346"/>
      <c r="AU44" s="346"/>
      <c r="AV44" s="341"/>
      <c r="AW44" s="341"/>
    </row>
    <row r="45" spans="1:104" x14ac:dyDescent="0.3">
      <c r="F45" s="329"/>
      <c r="G45" s="329"/>
      <c r="H45" s="341"/>
      <c r="I45" s="341"/>
      <c r="J45" s="336"/>
      <c r="K45" s="341"/>
      <c r="L45" s="336"/>
      <c r="M45" s="341"/>
      <c r="N45" s="341"/>
      <c r="O45" s="336"/>
      <c r="P45" s="341"/>
      <c r="Q45" s="336"/>
      <c r="R45" s="336"/>
      <c r="S45" s="336"/>
      <c r="T45" s="341"/>
      <c r="U45" s="341"/>
      <c r="V45" s="341"/>
      <c r="W45" s="341"/>
      <c r="X45" s="342"/>
      <c r="Y45" s="331"/>
      <c r="Z45" s="343"/>
      <c r="AA45" s="344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45"/>
      <c r="AO45" s="336"/>
      <c r="AP45" s="336"/>
      <c r="AQ45" s="336"/>
      <c r="AR45" s="336"/>
      <c r="AS45" s="336"/>
      <c r="AT45" s="346"/>
      <c r="AU45" s="346"/>
      <c r="AV45" s="341"/>
      <c r="AW45" s="341"/>
    </row>
    <row r="46" spans="1:104" x14ac:dyDescent="0.3">
      <c r="F46" s="329"/>
      <c r="G46" s="329"/>
      <c r="H46" s="341"/>
      <c r="I46" s="341"/>
      <c r="J46" s="336"/>
      <c r="K46" s="341"/>
      <c r="L46" s="336"/>
      <c r="M46" s="341"/>
      <c r="N46" s="341"/>
      <c r="O46" s="336"/>
      <c r="P46" s="341"/>
      <c r="Q46" s="336"/>
      <c r="R46" s="336"/>
      <c r="S46" s="336"/>
      <c r="T46" s="341"/>
      <c r="U46" s="341"/>
      <c r="V46" s="341"/>
      <c r="W46" s="341"/>
      <c r="X46" s="342"/>
      <c r="Y46" s="331"/>
      <c r="Z46" s="343"/>
      <c r="AA46" s="344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45"/>
      <c r="AO46" s="336"/>
      <c r="AP46" s="336"/>
      <c r="AQ46" s="336"/>
      <c r="AR46" s="336"/>
      <c r="AS46" s="336"/>
      <c r="AT46" s="346"/>
      <c r="AU46" s="346"/>
      <c r="AV46" s="341"/>
      <c r="AW46" s="341"/>
    </row>
    <row r="47" spans="1:104" x14ac:dyDescent="0.3">
      <c r="F47" s="329"/>
      <c r="G47" s="329"/>
      <c r="H47" s="341"/>
      <c r="I47" s="341"/>
      <c r="J47" s="336"/>
      <c r="K47" s="341"/>
      <c r="L47" s="336"/>
      <c r="M47" s="341"/>
      <c r="N47" s="341"/>
      <c r="O47" s="336"/>
      <c r="P47" s="341"/>
      <c r="Q47" s="336"/>
      <c r="R47" s="336"/>
      <c r="S47" s="336"/>
      <c r="T47" s="341"/>
      <c r="U47" s="341"/>
      <c r="V47" s="341"/>
      <c r="W47" s="341"/>
      <c r="X47" s="342"/>
      <c r="Y47" s="331"/>
      <c r="Z47" s="343"/>
      <c r="AA47" s="344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45"/>
      <c r="AO47" s="336"/>
      <c r="AP47" s="336"/>
      <c r="AQ47" s="336"/>
      <c r="AR47" s="336"/>
      <c r="AS47" s="336"/>
      <c r="AT47" s="346"/>
      <c r="AU47" s="346"/>
      <c r="AV47" s="341"/>
      <c r="AW47" s="341"/>
    </row>
    <row r="48" spans="1:104" x14ac:dyDescent="0.3">
      <c r="F48" s="329"/>
      <c r="G48" s="329"/>
      <c r="H48" s="341"/>
      <c r="I48" s="341"/>
      <c r="J48" s="336"/>
      <c r="K48" s="341"/>
      <c r="L48" s="336"/>
      <c r="M48" s="341"/>
      <c r="N48" s="341"/>
      <c r="O48" s="336"/>
      <c r="P48" s="341"/>
      <c r="Q48" s="336"/>
      <c r="R48" s="336"/>
      <c r="S48" s="336"/>
      <c r="T48" s="341"/>
      <c r="U48" s="341"/>
      <c r="V48" s="341"/>
      <c r="W48" s="341"/>
      <c r="X48" s="342"/>
      <c r="Y48" s="331"/>
      <c r="Z48" s="343"/>
      <c r="AA48" s="344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45"/>
      <c r="AO48" s="336"/>
      <c r="AP48" s="336"/>
      <c r="AQ48" s="336"/>
      <c r="AR48" s="336"/>
      <c r="AS48" s="336"/>
      <c r="AT48" s="346"/>
      <c r="AU48" s="346"/>
      <c r="AV48" s="341"/>
      <c r="AW48" s="341"/>
    </row>
    <row r="49" spans="6:49" x14ac:dyDescent="0.3">
      <c r="F49" s="329"/>
      <c r="G49" s="329"/>
      <c r="H49" s="341"/>
      <c r="I49" s="341"/>
      <c r="J49" s="336"/>
      <c r="K49" s="341"/>
      <c r="L49" s="336"/>
      <c r="M49" s="341"/>
      <c r="N49" s="341"/>
      <c r="O49" s="336"/>
      <c r="P49" s="341"/>
      <c r="Q49" s="336"/>
      <c r="R49" s="336"/>
      <c r="S49" s="336"/>
      <c r="T49" s="341"/>
      <c r="U49" s="341"/>
      <c r="V49" s="341"/>
      <c r="W49" s="341"/>
      <c r="X49" s="342"/>
      <c r="Y49" s="331"/>
      <c r="Z49" s="343"/>
      <c r="AA49" s="344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45"/>
      <c r="AO49" s="336"/>
      <c r="AP49" s="336"/>
      <c r="AQ49" s="336"/>
      <c r="AR49" s="336"/>
      <c r="AS49" s="336"/>
      <c r="AT49" s="346"/>
      <c r="AU49" s="346"/>
      <c r="AV49" s="341"/>
      <c r="AW49" s="341"/>
    </row>
    <row r="50" spans="6:49" x14ac:dyDescent="0.3">
      <c r="F50" s="329"/>
      <c r="G50" s="329"/>
      <c r="H50" s="341"/>
      <c r="I50" s="341"/>
      <c r="J50" s="336"/>
      <c r="K50" s="341"/>
      <c r="L50" s="336"/>
      <c r="M50" s="341"/>
      <c r="N50" s="341"/>
      <c r="O50" s="336"/>
      <c r="P50" s="341"/>
      <c r="Q50" s="336"/>
      <c r="R50" s="336"/>
      <c r="S50" s="336"/>
      <c r="T50" s="341"/>
      <c r="U50" s="341"/>
      <c r="V50" s="341"/>
      <c r="W50" s="341"/>
      <c r="X50" s="342"/>
      <c r="Y50" s="331"/>
      <c r="Z50" s="343"/>
      <c r="AA50" s="344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45"/>
      <c r="AO50" s="336"/>
      <c r="AP50" s="336"/>
      <c r="AQ50" s="336"/>
      <c r="AR50" s="336"/>
      <c r="AS50" s="336"/>
      <c r="AT50" s="346"/>
      <c r="AU50" s="346"/>
      <c r="AV50" s="341"/>
      <c r="AW50" s="341"/>
    </row>
  </sheetData>
  <sheetProtection algorithmName="SHA-512" hashValue="f+pDiEFaWmoJQUka9QIDCv2WlLeRANNogwFDiK9gSEDRlbWJEHNw/QwCkm79AaunxRcFDent7EuiKB1kw2KLbw==" saltValue="SMCAtl5KlKoYNB40789RDw==" spinCount="100000" sheet="1" formatCells="0" selectLockedCells="1"/>
  <mergeCells count="26">
    <mergeCell ref="F42:I42"/>
    <mergeCell ref="F43:I43"/>
    <mergeCell ref="F39:G41"/>
    <mergeCell ref="H39:I39"/>
    <mergeCell ref="H40:I40"/>
    <mergeCell ref="H41:I41"/>
    <mergeCell ref="T39:T41"/>
    <mergeCell ref="U39:V39"/>
    <mergeCell ref="U40:V40"/>
    <mergeCell ref="U41:V41"/>
    <mergeCell ref="AV39:AV41"/>
    <mergeCell ref="AV6:AW6"/>
    <mergeCell ref="AX6:BA6"/>
    <mergeCell ref="E2:G2"/>
    <mergeCell ref="E4:G4"/>
    <mergeCell ref="E3:G3"/>
    <mergeCell ref="AT6:AU6"/>
    <mergeCell ref="AT2:AU4"/>
    <mergeCell ref="H2:I2"/>
    <mergeCell ref="H3:I3"/>
    <mergeCell ref="AN6:AS6"/>
    <mergeCell ref="AN2:AS4"/>
    <mergeCell ref="H6:P6"/>
    <mergeCell ref="AA3:AA6"/>
    <mergeCell ref="G6:G7"/>
    <mergeCell ref="F6:F7"/>
  </mergeCells>
  <conditionalFormatting sqref="B7:E7 B8:F39 B42:F42 B40:E41 B5:F6 B499:F1048576">
    <cfRule type="expression" dxfId="241" priority="278">
      <formula>AND($C5=0,NOT($C5=""))</formula>
    </cfRule>
  </conditionalFormatting>
  <conditionalFormatting sqref="B6:F6 B7:E7 BB6:BB42 B39:F39 B40:E41 H39:H41 J39:U39 J40:S41 U40:U41 W39:BA39 W40:AU41 AW40:BA41 B41:BA41 H6:BA7 B5:BA5 B499:AI1048576 AX499:BA1048576 B8:BA38">
    <cfRule type="expression" dxfId="240" priority="301">
      <formula>AND($C5=0,NOT($C5=""))</formula>
    </cfRule>
  </conditionalFormatting>
  <conditionalFormatting sqref="G6 BC8:BC37">
    <cfRule type="expression" dxfId="239" priority="324">
      <formula>AND($C7=0,NOT($C7=""))</formula>
    </cfRule>
  </conditionalFormatting>
  <conditionalFormatting sqref="BC38:BC42">
    <cfRule type="expression" dxfId="238" priority="358">
      <formula>AND(#REF!=0,NOT(#REF!=""))</formula>
    </cfRule>
  </conditionalFormatting>
  <conditionalFormatting sqref="AJ499:AW1048558">
    <cfRule type="expression" dxfId="237" priority="361">
      <formula>AND($C503=0,NOT($C503=""))</formula>
    </cfRule>
  </conditionalFormatting>
  <conditionalFormatting sqref="AJ1048575:AW1048576">
    <cfRule type="expression" dxfId="236" priority="373">
      <formula>AND($C16=0,NOT($C16=""))</formula>
    </cfRule>
  </conditionalFormatting>
  <conditionalFormatting sqref="W8:X41 BC8:BD42">
    <cfRule type="expression" dxfId="235" priority="274">
      <formula>$BD8=3</formula>
    </cfRule>
    <cfRule type="expression" dxfId="234" priority="275">
      <formula>$BD8=2</formula>
    </cfRule>
  </conditionalFormatting>
  <conditionalFormatting sqref="W8:W41 BC8:BD42">
    <cfRule type="expression" dxfId="233" priority="276">
      <formula>$BD8=1</formula>
    </cfRule>
  </conditionalFormatting>
  <conditionalFormatting sqref="AJ1048559:AW1048574">
    <cfRule type="expression" dxfId="232" priority="1682">
      <formula>AND(#REF!=0,NOT(#REF!=""))</formula>
    </cfRule>
  </conditionalFormatting>
  <conditionalFormatting sqref="A8:BB38">
    <cfRule type="expression" dxfId="231" priority="3">
      <formula>$R$1=TRUE</formula>
    </cfRule>
  </conditionalFormatting>
  <conditionalFormatting sqref="B1:F4">
    <cfRule type="expression" dxfId="230" priority="1">
      <formula>AND($C1=0,NOT($C1=""))</formula>
    </cfRule>
  </conditionalFormatting>
  <conditionalFormatting sqref="B1:BA4">
    <cfRule type="expression" dxfId="229" priority="2">
      <formula>AND($C1=0,NOT($C1=""))</formula>
    </cfRule>
  </conditionalFormatting>
  <dataValidations count="2">
    <dataValidation type="list" allowBlank="1" showInputMessage="1" showErrorMessage="1" sqref="G8:G38">
      <formula1>Code_Liste</formula1>
    </dataValidation>
    <dataValidation type="time" allowBlank="1" showInputMessage="1" showErrorMessage="1" sqref="H8:I12 K8:K12">
      <formula1>$R$6</formula1>
      <formula2>$S$6</formula2>
    </dataValidation>
  </dataValidations>
  <pageMargins left="0.23622047244094491" right="0.23622047244094491" top="0.74803149606299213" bottom="0.74803149606299213" header="0.31496062992125984" footer="0.31496062992125984"/>
  <pageSetup paperSize="9" scale="6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3" stopIfTrue="1" id="{1B13992F-1558-4B47-BA42-3E6DC5A938E5}">
            <xm:f>Voreinstellung_Übersicht!$R$14=3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305" stopIfTrue="1" id="{8CE27A60-F6E0-469D-80AC-7172493D1DD1}">
            <xm:f>Voreinstellung_Übersicht!$R$14=2</xm:f>
            <x14:dxf>
              <fill>
                <patternFill>
                  <bgColor rgb="FFFFC000"/>
                </patternFill>
              </fill>
            </x14:dxf>
          </x14:cfRule>
          <xm:sqref>W7:X41</xm:sqref>
        </x14:conditionalFormatting>
        <x14:conditionalFormatting xmlns:xm="http://schemas.microsoft.com/office/excel/2006/main">
          <x14:cfRule type="expression" priority="302" stopIfTrue="1" id="{3E765A74-56EC-49FD-BBA3-D74A25E84C86}">
            <xm:f>Voreinstellung_Übersicht!$R$14=1</xm:f>
            <x14:dxf>
              <fill>
                <patternFill>
                  <bgColor theme="9" tint="0.59996337778862885"/>
                </patternFill>
              </fill>
            </x14:dxf>
          </x14:cfRule>
          <xm:sqref>W7:W41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03"/>
  <sheetViews>
    <sheetView zoomScale="80" zoomScaleNormal="80" workbookViewId="0">
      <selection activeCell="G8" sqref="G8"/>
    </sheetView>
  </sheetViews>
  <sheetFormatPr baseColWidth="10" defaultColWidth="11.5703125" defaultRowHeight="15.75" x14ac:dyDescent="0.3"/>
  <cols>
    <col min="1" max="1" width="5.5703125" customWidth="1"/>
    <col min="2" max="2" width="12.7109375" bestFit="1" customWidth="1"/>
    <col min="3" max="4" width="11.5703125" hidden="1" customWidth="1"/>
    <col min="5" max="5" width="15.7109375" customWidth="1"/>
    <col min="6" max="6" width="6.28515625" customWidth="1"/>
    <col min="7" max="7" width="6" customWidth="1"/>
    <col min="8" max="9" width="11.5703125" bestFit="1" customWidth="1"/>
    <col min="10" max="10" width="11.5703125" hidden="1" customWidth="1"/>
    <col min="11" max="11" width="11.42578125" customWidth="1"/>
    <col min="12" max="12" width="11.5703125" hidden="1" customWidth="1"/>
    <col min="13" max="14" width="11.5703125" bestFit="1" customWidth="1"/>
    <col min="15" max="15" width="11.5703125" hidden="1" customWidth="1"/>
    <col min="16" max="16" width="11.42578125"/>
    <col min="17" max="19" width="11.5703125" hidden="1" customWidth="1"/>
    <col min="20" max="21" width="11.5703125" bestFit="1" customWidth="1"/>
    <col min="22" max="23" width="11.42578125"/>
    <col min="24" max="24" width="25.7109375" style="48" customWidth="1"/>
    <col min="25" max="47" width="11.5703125" hidden="1" customWidth="1"/>
    <col min="48" max="48" width="11.42578125"/>
    <col min="49" max="49" width="13.7109375" customWidth="1"/>
    <col min="50" max="52" width="11.42578125"/>
    <col min="53" max="53" width="13" customWidth="1"/>
    <col min="54" max="54" width="18.140625" customWidth="1"/>
    <col min="55" max="57" width="11.5703125" hidden="1" customWidth="1"/>
    <col min="58" max="58" width="11.5703125" style="1" hidden="1" customWidth="1"/>
    <col min="59" max="59" width="0" hidden="1" customWidth="1"/>
  </cols>
  <sheetData>
    <row r="1" spans="1:58" s="1" customFormat="1" ht="15" customHeight="1" thickBot="1" x14ac:dyDescent="0.35">
      <c r="A1" s="26"/>
      <c r="B1" s="47"/>
      <c r="C1" s="6"/>
      <c r="D1" s="6"/>
      <c r="E1" s="12"/>
      <c r="F1" s="66"/>
      <c r="G1" s="66"/>
      <c r="H1" s="26"/>
      <c r="I1" s="26"/>
      <c r="J1" s="6"/>
      <c r="K1" s="26"/>
      <c r="L1" s="6"/>
      <c r="M1" s="26"/>
      <c r="N1" s="26"/>
      <c r="O1" s="6"/>
      <c r="P1" s="26"/>
      <c r="Q1" s="6" t="s">
        <v>123</v>
      </c>
      <c r="R1" s="315" t="b">
        <v>0</v>
      </c>
      <c r="S1" s="6"/>
      <c r="T1" s="26"/>
      <c r="U1" s="26"/>
      <c r="V1" s="26"/>
      <c r="W1" s="26"/>
      <c r="X1" s="48"/>
      <c r="Y1" s="7"/>
      <c r="Z1" s="8"/>
      <c r="AA1" s="17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3"/>
      <c r="AO1" s="6"/>
      <c r="AP1" s="6"/>
      <c r="AQ1" s="6"/>
      <c r="AR1" s="6"/>
      <c r="AS1" s="6"/>
      <c r="AT1" s="14"/>
      <c r="AU1" s="14"/>
      <c r="AV1" s="26"/>
      <c r="AW1" s="26"/>
      <c r="AX1" s="26"/>
      <c r="AY1" s="26"/>
      <c r="AZ1" s="26"/>
      <c r="BA1" s="26"/>
      <c r="BC1" s="6"/>
      <c r="BD1" s="6"/>
      <c r="BE1" s="6"/>
    </row>
    <row r="2" spans="1:58" s="1" customFormat="1" ht="16.5" customHeight="1" x14ac:dyDescent="0.3">
      <c r="A2" s="26"/>
      <c r="B2" s="71" t="s">
        <v>1</v>
      </c>
      <c r="C2" s="222" t="str">
        <f>Name</f>
        <v>Max Mustermann</v>
      </c>
      <c r="D2" s="222"/>
      <c r="E2" s="466" t="str">
        <f>C2</f>
        <v>Max Mustermann</v>
      </c>
      <c r="F2" s="466"/>
      <c r="G2" s="466"/>
      <c r="H2" s="471" t="s">
        <v>7</v>
      </c>
      <c r="I2" s="471"/>
      <c r="J2" s="222"/>
      <c r="K2" s="69">
        <f>Personalnummer</f>
        <v>123456789</v>
      </c>
      <c r="L2" s="219"/>
      <c r="M2" s="26"/>
      <c r="N2" s="26"/>
      <c r="O2" s="219"/>
      <c r="P2" s="26"/>
      <c r="Q2" s="219"/>
      <c r="R2" s="219"/>
      <c r="S2" s="219"/>
      <c r="T2" s="26"/>
      <c r="U2" s="26"/>
      <c r="V2" s="26"/>
      <c r="W2" s="26"/>
      <c r="X2" s="48"/>
      <c r="Y2" s="221"/>
      <c r="Z2" s="295"/>
      <c r="AA2" s="296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474"/>
      <c r="AO2" s="474"/>
      <c r="AP2" s="474"/>
      <c r="AQ2" s="474"/>
      <c r="AR2" s="474"/>
      <c r="AS2" s="474"/>
      <c r="AT2" s="470" t="s">
        <v>124</v>
      </c>
      <c r="AU2" s="470"/>
      <c r="AV2" s="26"/>
      <c r="AW2" s="26"/>
      <c r="AX2" s="26"/>
      <c r="AY2" s="26"/>
      <c r="AZ2" s="26"/>
      <c r="BA2" s="26"/>
      <c r="BB2" s="29"/>
      <c r="BC2" s="219"/>
      <c r="BD2" s="219"/>
      <c r="BE2" s="219"/>
    </row>
    <row r="3" spans="1:58" s="1" customFormat="1" ht="16.5" customHeight="1" x14ac:dyDescent="0.3">
      <c r="A3" s="26"/>
      <c r="B3" s="72" t="s">
        <v>125</v>
      </c>
      <c r="C3" s="223">
        <f>Jahr</f>
        <v>42004</v>
      </c>
      <c r="D3" s="223"/>
      <c r="E3" s="468">
        <f>Jahr</f>
        <v>42004</v>
      </c>
      <c r="F3" s="468"/>
      <c r="G3" s="468"/>
      <c r="H3" s="472" t="s">
        <v>5</v>
      </c>
      <c r="I3" s="472"/>
      <c r="J3" s="224"/>
      <c r="K3" s="70">
        <f>Geburtstag</f>
        <v>16833</v>
      </c>
      <c r="L3" s="219"/>
      <c r="M3" s="26"/>
      <c r="N3" s="26"/>
      <c r="O3" s="219"/>
      <c r="P3" s="26"/>
      <c r="Q3" s="219"/>
      <c r="R3" s="219"/>
      <c r="S3" s="219"/>
      <c r="T3" s="26"/>
      <c r="U3" s="26"/>
      <c r="V3" s="26"/>
      <c r="W3" s="26"/>
      <c r="X3" s="48"/>
      <c r="Y3" s="221"/>
      <c r="Z3" s="295"/>
      <c r="AA3" s="475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474"/>
      <c r="AO3" s="474"/>
      <c r="AP3" s="474"/>
      <c r="AQ3" s="474"/>
      <c r="AR3" s="474"/>
      <c r="AS3" s="474"/>
      <c r="AT3" s="470"/>
      <c r="AU3" s="470"/>
      <c r="AV3" s="26"/>
      <c r="AW3" s="26"/>
      <c r="AX3" s="26"/>
      <c r="AY3" s="26"/>
      <c r="AZ3" s="26"/>
      <c r="BA3" s="26"/>
      <c r="BB3" s="29"/>
      <c r="BC3" s="219"/>
      <c r="BD3" s="219"/>
      <c r="BE3" s="219"/>
    </row>
    <row r="4" spans="1:58" s="1" customFormat="1" ht="16.5" customHeight="1" thickBot="1" x14ac:dyDescent="0.35">
      <c r="A4" s="26"/>
      <c r="B4" s="322" t="s">
        <v>126</v>
      </c>
      <c r="C4" s="323">
        <f>Jahr</f>
        <v>42004</v>
      </c>
      <c r="D4" s="323"/>
      <c r="E4" s="467">
        <f>B8</f>
        <v>42035</v>
      </c>
      <c r="F4" s="467"/>
      <c r="G4" s="467"/>
      <c r="H4" s="324"/>
      <c r="I4" s="324"/>
      <c r="J4" s="325"/>
      <c r="K4" s="326"/>
      <c r="L4" s="219"/>
      <c r="M4" s="26"/>
      <c r="N4" s="26"/>
      <c r="O4" s="219"/>
      <c r="P4" s="26"/>
      <c r="Q4" s="219"/>
      <c r="R4" s="219"/>
      <c r="S4" s="219"/>
      <c r="T4" s="26"/>
      <c r="U4" s="26"/>
      <c r="V4" s="26"/>
      <c r="W4" s="26"/>
      <c r="X4" s="48"/>
      <c r="Y4" s="221"/>
      <c r="Z4" s="295"/>
      <c r="AA4" s="475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474"/>
      <c r="AO4" s="474"/>
      <c r="AP4" s="474"/>
      <c r="AQ4" s="474"/>
      <c r="AR4" s="474"/>
      <c r="AS4" s="474"/>
      <c r="AT4" s="470"/>
      <c r="AU4" s="470"/>
      <c r="AV4" s="26"/>
      <c r="AW4" s="26"/>
      <c r="AX4" s="26"/>
      <c r="AY4" s="26"/>
      <c r="AZ4" s="26"/>
      <c r="BA4" s="26"/>
      <c r="BB4" s="29"/>
      <c r="BC4" s="219"/>
      <c r="BD4" s="219"/>
      <c r="BE4" s="219"/>
    </row>
    <row r="5" spans="1:58" s="1" customFormat="1" ht="15" x14ac:dyDescent="0.3">
      <c r="A5" s="26"/>
      <c r="B5" s="73"/>
      <c r="C5" s="225"/>
      <c r="D5" s="225"/>
      <c r="E5" s="67"/>
      <c r="F5" s="67"/>
      <c r="G5" s="67"/>
      <c r="H5" s="68"/>
      <c r="I5" s="68"/>
      <c r="J5" s="226"/>
      <c r="K5" s="68"/>
      <c r="L5" s="219"/>
      <c r="M5" s="26"/>
      <c r="N5" s="26"/>
      <c r="O5" s="219"/>
      <c r="P5" s="26"/>
      <c r="Q5" s="219"/>
      <c r="R5" s="219"/>
      <c r="S5" s="219"/>
      <c r="T5" s="26"/>
      <c r="U5" s="26"/>
      <c r="V5" s="26"/>
      <c r="W5" s="26"/>
      <c r="X5" s="48"/>
      <c r="Y5" s="221"/>
      <c r="Z5" s="295"/>
      <c r="AA5" s="475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73"/>
      <c r="AO5" s="273"/>
      <c r="AP5" s="273"/>
      <c r="AQ5" s="273"/>
      <c r="AR5" s="273"/>
      <c r="AS5" s="273"/>
      <c r="AT5" s="272"/>
      <c r="AU5" s="272"/>
      <c r="AV5" s="26"/>
      <c r="AW5" s="26"/>
      <c r="AX5" s="26"/>
      <c r="AY5" s="26"/>
      <c r="AZ5" s="26"/>
      <c r="BA5" s="26"/>
      <c r="BB5" s="29"/>
      <c r="BC5" s="219"/>
      <c r="BD5" s="219"/>
      <c r="BE5" s="219"/>
    </row>
    <row r="6" spans="1:58" s="1" customFormat="1" ht="27.6" customHeight="1" x14ac:dyDescent="0.3">
      <c r="A6" s="227"/>
      <c r="B6" s="86"/>
      <c r="C6" s="228" t="s">
        <v>127</v>
      </c>
      <c r="D6" s="228" t="s">
        <v>81</v>
      </c>
      <c r="E6" s="297"/>
      <c r="F6" s="465" t="s">
        <v>128</v>
      </c>
      <c r="G6" s="497" t="s">
        <v>129</v>
      </c>
      <c r="H6" s="462" t="s">
        <v>130</v>
      </c>
      <c r="I6" s="464"/>
      <c r="J6" s="464"/>
      <c r="K6" s="464"/>
      <c r="L6" s="464"/>
      <c r="M6" s="464"/>
      <c r="N6" s="464"/>
      <c r="O6" s="464"/>
      <c r="P6" s="464"/>
      <c r="Q6" s="228" t="s">
        <v>131</v>
      </c>
      <c r="R6" s="228">
        <v>0</v>
      </c>
      <c r="S6" s="228">
        <v>1</v>
      </c>
      <c r="T6" s="84"/>
      <c r="U6" s="84"/>
      <c r="V6" s="84"/>
      <c r="W6" s="85"/>
      <c r="X6" s="291"/>
      <c r="Y6" s="221"/>
      <c r="Z6" s="295"/>
      <c r="AA6" s="475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473" t="s">
        <v>82</v>
      </c>
      <c r="AO6" s="473"/>
      <c r="AP6" s="473"/>
      <c r="AQ6" s="473"/>
      <c r="AR6" s="473"/>
      <c r="AS6" s="473"/>
      <c r="AT6" s="469" t="s">
        <v>70</v>
      </c>
      <c r="AU6" s="499"/>
      <c r="AV6" s="462" t="s">
        <v>105</v>
      </c>
      <c r="AW6" s="465"/>
      <c r="AX6" s="462" t="s">
        <v>132</v>
      </c>
      <c r="AY6" s="464"/>
      <c r="AZ6" s="464"/>
      <c r="BA6" s="465"/>
      <c r="BB6" s="211" t="s">
        <v>133</v>
      </c>
      <c r="BC6" s="219" t="s">
        <v>134</v>
      </c>
      <c r="BD6" s="219"/>
      <c r="BE6" s="219"/>
    </row>
    <row r="7" spans="1:58" s="290" customFormat="1" ht="39" customHeight="1" x14ac:dyDescent="0.25">
      <c r="A7" s="279" t="s">
        <v>135</v>
      </c>
      <c r="B7" s="274" t="s">
        <v>80</v>
      </c>
      <c r="C7" s="281"/>
      <c r="D7" s="281"/>
      <c r="E7" s="241" t="s">
        <v>136</v>
      </c>
      <c r="F7" s="478"/>
      <c r="G7" s="498"/>
      <c r="H7" s="275" t="s">
        <v>137</v>
      </c>
      <c r="I7" s="276" t="s">
        <v>138</v>
      </c>
      <c r="J7" s="282" t="s">
        <v>139</v>
      </c>
      <c r="K7" s="277" t="s">
        <v>140</v>
      </c>
      <c r="L7" s="281" t="s">
        <v>141</v>
      </c>
      <c r="M7" s="275" t="s">
        <v>142</v>
      </c>
      <c r="N7" s="276" t="s">
        <v>143</v>
      </c>
      <c r="O7" s="282" t="s">
        <v>144</v>
      </c>
      <c r="P7" s="277" t="s">
        <v>145</v>
      </c>
      <c r="Q7" s="281" t="s">
        <v>146</v>
      </c>
      <c r="R7" s="281" t="s">
        <v>147</v>
      </c>
      <c r="S7" s="281" t="s">
        <v>148</v>
      </c>
      <c r="T7" s="211" t="s">
        <v>149</v>
      </c>
      <c r="U7" s="211" t="s">
        <v>150</v>
      </c>
      <c r="V7" s="275" t="s">
        <v>151</v>
      </c>
      <c r="W7" s="278" t="s">
        <v>152</v>
      </c>
      <c r="X7" s="278" t="s">
        <v>153</v>
      </c>
      <c r="Y7" s="283" t="s">
        <v>154</v>
      </c>
      <c r="Z7" s="284" t="s">
        <v>155</v>
      </c>
      <c r="AA7" s="285" t="s">
        <v>134</v>
      </c>
      <c r="AB7" s="286" t="s">
        <v>49</v>
      </c>
      <c r="AC7" s="286" t="s">
        <v>59</v>
      </c>
      <c r="AD7" s="286" t="s">
        <v>57</v>
      </c>
      <c r="AE7" s="286" t="s">
        <v>55</v>
      </c>
      <c r="AF7" s="286" t="s">
        <v>156</v>
      </c>
      <c r="AG7" s="286" t="s">
        <v>157</v>
      </c>
      <c r="AH7" s="286" t="s">
        <v>61</v>
      </c>
      <c r="AI7" s="286" t="s">
        <v>65</v>
      </c>
      <c r="AJ7" s="286" t="s">
        <v>74</v>
      </c>
      <c r="AK7" s="286" t="s">
        <v>76</v>
      </c>
      <c r="AL7" s="286" t="s">
        <v>158</v>
      </c>
      <c r="AM7" s="286" t="s">
        <v>78</v>
      </c>
      <c r="AN7" s="287" t="s">
        <v>159</v>
      </c>
      <c r="AO7" s="286" t="s">
        <v>160</v>
      </c>
      <c r="AP7" s="286" t="s">
        <v>81</v>
      </c>
      <c r="AQ7" s="286" t="s">
        <v>161</v>
      </c>
      <c r="AR7" s="286" t="s">
        <v>162</v>
      </c>
      <c r="AS7" s="286" t="s">
        <v>39</v>
      </c>
      <c r="AT7" s="288" t="s">
        <v>163</v>
      </c>
      <c r="AU7" s="288" t="s">
        <v>164</v>
      </c>
      <c r="AV7" s="279" t="s">
        <v>165</v>
      </c>
      <c r="AW7" s="280" t="s">
        <v>166</v>
      </c>
      <c r="AX7" s="279" t="s">
        <v>38</v>
      </c>
      <c r="AY7" s="241" t="s">
        <v>39</v>
      </c>
      <c r="AZ7" s="241" t="s">
        <v>81</v>
      </c>
      <c r="BA7" s="280" t="s">
        <v>167</v>
      </c>
      <c r="BB7" s="280" t="s">
        <v>167</v>
      </c>
      <c r="BC7" s="289" t="s">
        <v>165</v>
      </c>
      <c r="BD7" s="289" t="s">
        <v>168</v>
      </c>
      <c r="BE7" s="289" t="s">
        <v>169</v>
      </c>
      <c r="BF7" s="290" t="s">
        <v>170</v>
      </c>
    </row>
    <row r="8" spans="1:58" s="1" customFormat="1" ht="15" x14ac:dyDescent="0.3">
      <c r="A8" s="218">
        <f t="shared" ref="A8:A35" si="0">WEEKNUM(B8)</f>
        <v>5</v>
      </c>
      <c r="B8" s="47">
        <f>Jan!B38+1</f>
        <v>42035</v>
      </c>
      <c r="C8" s="219">
        <f t="shared" ref="C8:C35" si="1">NETWORKDAYS(B8,B8,Feiertage)</f>
        <v>1</v>
      </c>
      <c r="D8" s="220" t="str">
        <f t="shared" ref="D8:D36" si="2">IF(ISERROR(VLOOKUP(B8,Feiertage_ganz,4,FALSE)),"",(VLOOKUP(B8,Feiertage_ganz,4,FALSE)))</f>
        <v/>
      </c>
      <c r="E8" s="298" t="str">
        <f t="shared" ref="E8:E36" si="3">D8</f>
        <v/>
      </c>
      <c r="F8" s="87">
        <f t="shared" ref="F8:F36" si="4">B8</f>
        <v>42035</v>
      </c>
      <c r="G8" s="147"/>
      <c r="H8" s="214"/>
      <c r="I8" s="75"/>
      <c r="J8" s="221">
        <f t="shared" ref="J8:J36" si="5">I8-H8</f>
        <v>0</v>
      </c>
      <c r="K8" s="76"/>
      <c r="L8" s="221">
        <f>IF(J8-K8&gt;Pause_9,Pause_9p,IF(J8-K8&gt;Pause_6,Pause_6p,0))</f>
        <v>0</v>
      </c>
      <c r="M8" s="74"/>
      <c r="N8" s="75"/>
      <c r="O8" s="221">
        <f t="shared" ref="O8:O36" si="6">N8-M8</f>
        <v>0</v>
      </c>
      <c r="P8" s="76"/>
      <c r="Q8" s="221">
        <f>IF(O8-P8&gt;Pause_9,Pause_9p,IF(O8-P8&gt;Pause_6,Pause_6p,0))</f>
        <v>0</v>
      </c>
      <c r="R8" s="221">
        <f>IF(J8+O8-K8-P8&gt;Pause_9,Pause_9p,IF(J8+O8-K8-P8&gt;Pause_6,Pause_6p,0))</f>
        <v>0</v>
      </c>
      <c r="S8" s="221">
        <f t="shared" ref="S8:S36" si="7">IF(M8&gt;I8,IF(M8-I8+K8+P8&gt;=R8,K8+P8,R8),IF(K8+P8&gt;=R8,K8+P8,R8))</f>
        <v>0</v>
      </c>
      <c r="T8" s="79">
        <f t="shared" ref="T8:T35" si="8">IF(I8&lt;=M8,I8-H8+N8-M8,IF(I8&lt;=N8,N8-H8,I8-H8))</f>
        <v>0</v>
      </c>
      <c r="U8" s="79">
        <f>ROUND(T8-S8,10)</f>
        <v>0</v>
      </c>
      <c r="V8" s="80">
        <f t="shared" ref="V8:V35" ca="1" si="9">ROUND(IF(AND(D8&lt;&gt;"",G8=""),IF(ISERROR(VLOOKUP(B8,Feiertage,3,FALSE)),0,Z8),IF(B8="",0,IF(G8&lt;&gt;"",IF(UPPER(G8)=VLOOKUP(UPPER(G8),Code,1,FALSE),VLOOKUP(G8,Code,2,FALSE)*Z8,Z8),Z8))),10)</f>
        <v>0.33333333329999998</v>
      </c>
      <c r="W8" s="249" t="str">
        <f t="shared" ref="W8:W36" ca="1" si="10">IF(OR(AND(VLOOKUP(UPPER(G8),Code,3,FALSE)=2,U8&gt;V8),AND(I8&lt;&gt;0,B8&lt;&gt;"",G8=""),VLOOKUP(UPPER(G8),Code,3,FALSE)=1),U8-V8,"")</f>
        <v/>
      </c>
      <c r="X8" s="292"/>
      <c r="Y8" s="221">
        <f t="shared" ref="Y8:Y36" si="11">IF(G8&lt;&gt;"",IF(VLOOKUP(G8,Code,2,FALSE)=2,U8,IF(AND(VLOOKUP(G8,Code,2,FALSE)=1,U8&gt;Z8),U8,0)),0)</f>
        <v>0</v>
      </c>
      <c r="Z8" s="299">
        <f ca="1">IF(B8="","",INDIRECT(ADDRESS(MATCH(B8,Soll_AZ,1)+MATCH("Arbeitszeit 1 ab",Voreinstellung_Übersicht!B:B,0)-1,WEEKDAY(B8,2)+4,,,"Voreinstellung_Übersicht"),TRUE))</f>
        <v>0.33333333333333331</v>
      </c>
      <c r="AA8" s="300">
        <f ca="1">IF(W8="",Übertrag_Mehrarbeit,Übertrag_Mehrarbeit+W8)</f>
        <v>0</v>
      </c>
      <c r="AB8" s="219">
        <f t="shared" ref="AB8:AB36" si="12">IF(AND($G8&lt;&gt;0,IF(ISERROR(VLOOKUP($G8,Code,1,FALSE)),FALSE,VLOOKUP($G8,Code,1,FALSE)="U"),$C8=1),1,0)</f>
        <v>0</v>
      </c>
      <c r="AC8" s="219">
        <f t="shared" ref="AC8:AC36" si="13">IF(AND($G8&lt;&gt;0,IF(ISERROR(VLOOKUP($G8,Code,1,FALSE)),FALSE,VLOOKUP($G8,Code,1,FALSE))="WB"),1,0)</f>
        <v>0</v>
      </c>
      <c r="AD8" s="219">
        <f t="shared" ref="AD8:AD36" si="14">IF(AND($G8&lt;&gt;0,IF(ISERROR(VLOOKUP($G8,Code,1,FALSE)),FALSE,VLOOKUP($G8,Code,1,FALSE))="DR",$C8=1),1,0)</f>
        <v>0</v>
      </c>
      <c r="AE8" s="219">
        <f t="shared" ref="AE8:AE36" si="15">IF(AND($G8&lt;&gt;0,IF(ISERROR(VLOOKUP($G8,Code,1,FALSE)),FALSE,VLOOKUP($G8,Code,1,FALSE))="KK",$C8=1),1,0)</f>
        <v>0</v>
      </c>
      <c r="AF8" s="219">
        <f t="shared" ref="AF8:AF36" si="16">IF(AND($G8&lt;&gt;0,IF(ISERROR(VLOOKUP($G8,Code,1,FALSE)),FALSE,VLOOKUP($G8,Code,1,FALSE))="K",$C8=1),1,0)</f>
        <v>0</v>
      </c>
      <c r="AG8" s="219">
        <f t="shared" ref="AG8:AG36" si="17">IF(AND($G8&lt;&gt;0,IF(ISERROR(VLOOKUP($G8,Code,1,FALSE)),FALSE,VLOOKUP($G8,Code,1,FALSE))="KZT"),1,0)</f>
        <v>0</v>
      </c>
      <c r="AH8" s="219">
        <f t="shared" ref="AH8:AH36" si="18">IF(AND($G8&lt;&gt;0,IF(ISERROR(VLOOKUP($G8,Code,1,FALSE)),FALSE,VLOOKUP($G8,Code,1,FALSE))="mEG",$C8=1),1,0)</f>
        <v>0</v>
      </c>
      <c r="AI8" s="219">
        <f t="shared" ref="AI8:AI36" si="19">IF(AND($G8&lt;&gt;0,IF(ISERROR(VLOOKUP($G8,Code,1,FALSE)),FALSE,VLOOKUP($G8,Code,1,FALSE))="Ku"),1,0)</f>
        <v>0</v>
      </c>
      <c r="AJ8" s="219">
        <f t="shared" ref="AJ8:AJ36" si="20">IF(AND($G8&lt;&gt;0,IF(ISERROR(VLOOKUP($G8,Code,1,FALSE)),FALSE,VLOOKUP($G8,Code,1,FALSE))="§29(1)",$C8=1),1,0)</f>
        <v>0</v>
      </c>
      <c r="AK8" s="219">
        <f t="shared" ref="AK8:AK36" si="21">IF(AND($G8&lt;&gt;0,IF(ISERROR(VLOOKUP($G8,Code,1,FALSE)),FALSE,VLOOKUP($G8,Code,1,FALSE))="§29(2)",$C8=1),1,0)</f>
        <v>0</v>
      </c>
      <c r="AL8" s="219">
        <f t="shared" ref="AL8:AL36" si="22">IF(AND($G8&lt;&gt;0,IF(ISERROR(VLOOKUP($G8,Code,1,FALSE)),FALSE,VLOOKUP($G8,Code,1,FALSE))="§29(3)",$C8=1),1,0)</f>
        <v>0</v>
      </c>
      <c r="AM8" s="219">
        <f t="shared" ref="AM8:AM36" si="23">IF(AND($G8&lt;&gt;0,IF(ISERROR(VLOOKUP($G8,Code,1,FALSE)),FALSE,VLOOKUP($G8,Code,1,FALSE))="§29(4)",$C8=1),1,0)</f>
        <v>0</v>
      </c>
      <c r="AN8" s="301">
        <f t="shared" ref="AN8:AN36" si="24">IF(OR(AND(H8&lt;Nacht_6,I8-K8&lt;=Nacht_6),AND(I8&gt;Nacht_22,H8+K8&gt;=Nacht_22)),I8-H8-K8,IF(H8&lt;Nacht_6,IF(I8&gt;Nacht_22,Nacht_6-H8+I8-Nacht_22,Nacht_6-H8),IF(I8&gt;Nacht_22,I8-Nacht_22,0)))</f>
        <v>0</v>
      </c>
      <c r="AO8" s="301">
        <f t="shared" ref="AO8:AO36" si="25">IF(OR(AND(M8&lt;Nacht_6,N8-P8&lt;=Nacht_6),AND(N8&gt;Nacht_22,M8+P8&gt;=Nacht_22)),N8-M8-P8,IF(M8&lt;Nacht_6,IF(N8&gt;Nacht_22,Nacht_6-M8+N8-Nacht_22,Nacht_6-M8),IF(N8&gt;Nacht_22,N8-Nacht_22,0)))</f>
        <v>0</v>
      </c>
      <c r="AP8" s="301">
        <f t="shared" ref="AP8:AP36" si="26">IF(ISERROR(VLOOKUP(B8,Feiertage_ganz,3,FALSE)),0,IF(VLOOKUP(B8,Feiertage_ganz,3,FALSE)=1,U8,0))</f>
        <v>0</v>
      </c>
      <c r="AQ8" s="301">
        <f t="shared" ref="AQ8:AQ36" si="27">IF(OR(I8&lt;=Samstagszuschlag,H8&gt;=Nacht_22),0,IF(H8&lt;=Samstagszuschlag,IF(I8&lt;=Nacht_22,I8-Samstagszuschlag,Nacht_22-Samstagszuschlag),IF(I8&lt;=Nacht_22,I8-H8,Nacht_22-H8)))</f>
        <v>0</v>
      </c>
      <c r="AR8" s="301">
        <f t="shared" ref="AR8:AR36" si="28">IF(OR(N8&lt;=Samstagszuschlag,M8&lt;=Nacht_22),0,IF(M8&lt;=Samstagszuschlag,IF(N8&lt;=Nacht_22,N8-Samstagszuschlag,Nacht_22-Samstagszuschlag),IF(N8&lt;=Nacht_22,N8-M8,Nacht_22-M8)))</f>
        <v>0</v>
      </c>
      <c r="AS8" s="301">
        <f t="shared" ref="AS8:AS35" si="29">IF(WEEKDAY(B8,2)=7,U8,0)</f>
        <v>0</v>
      </c>
      <c r="AT8" s="302">
        <f t="shared" ref="AT8:AT36" si="30">IF(ISERROR(VLOOKUP(G8,Code_Liste,1,FALSE)),0,I8-H8)</f>
        <v>0</v>
      </c>
      <c r="AU8" s="302">
        <f t="shared" ref="AU8:AU36" si="31">IF(ISERROR(VLOOKUP(G8,Code_Liste,1,FALSE)),0,N8-M8)</f>
        <v>0</v>
      </c>
      <c r="AV8" s="81">
        <f t="shared" ref="AV8:AV35" si="32">SUM(AN8:AO8)</f>
        <v>0</v>
      </c>
      <c r="AW8" s="82">
        <f t="shared" ref="AW8:AW35" si="33">AV8*Zuschlag_Nacht/100</f>
        <v>0</v>
      </c>
      <c r="AX8" s="81">
        <f t="shared" ref="AX8:AX35" si="34">IF(WEEKDAY(B8,2)=6,AQ8+AR8,0)</f>
        <v>0</v>
      </c>
      <c r="AY8" s="83">
        <f t="shared" ref="AY8:AY35" si="35">AS8</f>
        <v>0</v>
      </c>
      <c r="AZ8" s="83">
        <f t="shared" ref="AZ8:AZ35" si="36">AP8</f>
        <v>0</v>
      </c>
      <c r="BA8" s="82">
        <f>IF(OR(B8=Feiertage!$A$16,B8=Feiertage!$A$19),U8*Zuschläge_24_31/100,IF(AZ8&gt;0,AZ8*Feiertag_mit/100,IF(AX8&gt;0,AX8*Zuschläge_Sa/100,IF(AY8&gt;0,AY8*Zuschlag_So/100,0))))</f>
        <v>0</v>
      </c>
      <c r="BB8" s="82">
        <f>IF(AND(B8&lt;&gt;0,G8=Voreinstellung_Übersicht!$D$41),IF(EG=1,W8*Über_klein/100,IF(EG=2,W8*Über_groß/100,"Fehler")),0)</f>
        <v>0</v>
      </c>
      <c r="BC8" s="299">
        <f ca="1">Jan!BC39</f>
        <v>0</v>
      </c>
      <c r="BD8" s="219">
        <f t="shared" ref="BD8:BD38" ca="1" si="37">IF(OR(AND(BC8&gt;=0,BC8&lt;=(grün_plus*BE8/100%)),AND(BC8&lt;=0,BC8&gt;=(grün_minus*BE8/100%))),1,IF(OR(AND(BC8&gt;0,BC8&lt;=(gelb_plus*BE8/100%)),AND(BC8&lt;0,BC8&gt;=(gelb_minus*BE8/100%))),2,3))</f>
        <v>1</v>
      </c>
      <c r="BE8" s="303">
        <f ca="1">IF(B8="","",INDIRECT(ADDRESS(MATCH(B8,Soll_AZ,1)+MATCH("Arbeitszeit 1 ab",Voreinstellung_Übersicht!B:B,0)-1,4,,,"Voreinstellung_Übersicht"),TRUE))</f>
        <v>1.6666666666666665</v>
      </c>
      <c r="BF8" s="1">
        <f>IF(OR(G8="WB",G8="DR",U8&gt;0),1,0)</f>
        <v>0</v>
      </c>
    </row>
    <row r="9" spans="1:58" s="1" customFormat="1" ht="15" x14ac:dyDescent="0.3">
      <c r="A9" s="218">
        <f t="shared" si="0"/>
        <v>5</v>
      </c>
      <c r="B9" s="47">
        <f t="shared" ref="B9:B35" si="38">B8+1</f>
        <v>42036</v>
      </c>
      <c r="C9" s="219">
        <f t="shared" si="1"/>
        <v>0</v>
      </c>
      <c r="D9" s="220" t="str">
        <f t="shared" si="2"/>
        <v/>
      </c>
      <c r="E9" s="298" t="str">
        <f t="shared" si="3"/>
        <v/>
      </c>
      <c r="F9" s="87">
        <f t="shared" si="4"/>
        <v>42036</v>
      </c>
      <c r="G9" s="147"/>
      <c r="H9" s="74"/>
      <c r="I9" s="75"/>
      <c r="J9" s="221">
        <f t="shared" si="5"/>
        <v>0</v>
      </c>
      <c r="K9" s="76"/>
      <c r="L9" s="221">
        <f>IF(J9-K9&gt;Pause_9,Pause_9p,IF(J9-K9&gt;Pause_6,Pause_6p,0))</f>
        <v>0</v>
      </c>
      <c r="M9" s="74"/>
      <c r="N9" s="75"/>
      <c r="O9" s="221">
        <f t="shared" si="6"/>
        <v>0</v>
      </c>
      <c r="P9" s="76"/>
      <c r="Q9" s="221">
        <f>IF(O9-P9&gt;Pause_9,Pause_9p,IF(O9-P9&gt;Pause_6,Pause_6p,0))</f>
        <v>0</v>
      </c>
      <c r="R9" s="221">
        <f>IF(J9+O9-K9-P9&gt;Pause_9,Pause_9p,IF(J9+O9-K9-P9&gt;Pause_6,Pause_6p,0))</f>
        <v>0</v>
      </c>
      <c r="S9" s="221">
        <f t="shared" si="7"/>
        <v>0</v>
      </c>
      <c r="T9" s="79">
        <f t="shared" si="8"/>
        <v>0</v>
      </c>
      <c r="U9" s="79">
        <f t="shared" ref="U9:U35" si="39">ROUND(T9-S9,10)</f>
        <v>0</v>
      </c>
      <c r="V9" s="80">
        <f t="shared" ca="1" si="9"/>
        <v>0</v>
      </c>
      <c r="W9" s="249" t="str">
        <f t="shared" ca="1" si="10"/>
        <v/>
      </c>
      <c r="X9" s="293"/>
      <c r="Y9" s="221">
        <f t="shared" si="11"/>
        <v>0</v>
      </c>
      <c r="Z9" s="299">
        <f ca="1">IF(B9="","",INDIRECT(ADDRESS(MATCH(B9,Soll_AZ,1)+MATCH("Arbeitszeit 1 ab",Voreinstellung_Übersicht!B:B,0)-1,WEEKDAY(B9,2)+4,,,"Voreinstellung_Übersicht"),TRUE))</f>
        <v>0</v>
      </c>
      <c r="AA9" s="300">
        <f t="shared" ref="AA9:AA36" ca="1" si="40">IF(W9="",AA8,AA8+W9)</f>
        <v>0</v>
      </c>
      <c r="AB9" s="219">
        <f t="shared" si="12"/>
        <v>0</v>
      </c>
      <c r="AC9" s="219">
        <f t="shared" si="13"/>
        <v>0</v>
      </c>
      <c r="AD9" s="219">
        <f t="shared" si="14"/>
        <v>0</v>
      </c>
      <c r="AE9" s="219">
        <f t="shared" si="15"/>
        <v>0</v>
      </c>
      <c r="AF9" s="219">
        <f t="shared" si="16"/>
        <v>0</v>
      </c>
      <c r="AG9" s="219">
        <f t="shared" si="17"/>
        <v>0</v>
      </c>
      <c r="AH9" s="219">
        <f t="shared" si="18"/>
        <v>0</v>
      </c>
      <c r="AI9" s="219">
        <f t="shared" si="19"/>
        <v>0</v>
      </c>
      <c r="AJ9" s="219">
        <f t="shared" si="20"/>
        <v>0</v>
      </c>
      <c r="AK9" s="219">
        <f t="shared" si="21"/>
        <v>0</v>
      </c>
      <c r="AL9" s="219">
        <f t="shared" si="22"/>
        <v>0</v>
      </c>
      <c r="AM9" s="219">
        <f t="shared" si="23"/>
        <v>0</v>
      </c>
      <c r="AN9" s="301">
        <f t="shared" si="24"/>
        <v>0</v>
      </c>
      <c r="AO9" s="301">
        <f t="shared" si="25"/>
        <v>0</v>
      </c>
      <c r="AP9" s="301">
        <f t="shared" si="26"/>
        <v>0</v>
      </c>
      <c r="AQ9" s="301">
        <f t="shared" si="27"/>
        <v>0</v>
      </c>
      <c r="AR9" s="301">
        <f t="shared" si="28"/>
        <v>0</v>
      </c>
      <c r="AS9" s="301">
        <f t="shared" si="29"/>
        <v>0</v>
      </c>
      <c r="AT9" s="302">
        <f t="shared" si="30"/>
        <v>0</v>
      </c>
      <c r="AU9" s="302">
        <f t="shared" si="31"/>
        <v>0</v>
      </c>
      <c r="AV9" s="81">
        <f t="shared" si="32"/>
        <v>0</v>
      </c>
      <c r="AW9" s="82">
        <f t="shared" si="33"/>
        <v>0</v>
      </c>
      <c r="AX9" s="81">
        <f t="shared" si="34"/>
        <v>0</v>
      </c>
      <c r="AY9" s="83">
        <f t="shared" si="35"/>
        <v>0</v>
      </c>
      <c r="AZ9" s="83">
        <f t="shared" si="36"/>
        <v>0</v>
      </c>
      <c r="BA9" s="82">
        <f>IF(OR(B9=Feiertage!$A$16,B9=Feiertage!$A$19),U9*Zuschläge_24_31/100,IF(AZ9&gt;0,AZ9*Feiertag_mit/100,IF(AX9&gt;0,AX9*Zuschläge_Sa/100,IF(AY9&gt;0,AY9*Zuschlag_So/100,0))))</f>
        <v>0</v>
      </c>
      <c r="BB9" s="82">
        <f>IF(AND(B9&lt;&gt;0,G9=Voreinstellung_Übersicht!$D$41),IF(EG=1,W9*Über_klein/100,IF(EG=2,W9*Über_groß/100,"Fehler")),0)</f>
        <v>0</v>
      </c>
      <c r="BC9" s="299">
        <f t="shared" ref="BC9:BC38" ca="1" si="41">IF(W9="",BC8,BC8+W9)</f>
        <v>0</v>
      </c>
      <c r="BD9" s="219">
        <f t="shared" ca="1" si="37"/>
        <v>1</v>
      </c>
      <c r="BE9" s="303">
        <f ca="1">IF(B9="","",INDIRECT(ADDRESS(MATCH(B9,Soll_AZ,1)+MATCH("Arbeitszeit 1 ab",Voreinstellung_Übersicht!B:B,0)-1,4,,,"Voreinstellung_Übersicht"),TRUE))</f>
        <v>1.6666666666666665</v>
      </c>
      <c r="BF9" s="1">
        <f t="shared" ref="BF9:BF38" si="42">IF(OR(G9="WB",G9="DR",U9&gt;0),1,0)</f>
        <v>0</v>
      </c>
    </row>
    <row r="10" spans="1:58" s="1" customFormat="1" ht="15" x14ac:dyDescent="0.3">
      <c r="A10" s="218">
        <f t="shared" si="0"/>
        <v>6</v>
      </c>
      <c r="B10" s="47">
        <f t="shared" si="38"/>
        <v>42037</v>
      </c>
      <c r="C10" s="219">
        <f t="shared" si="1"/>
        <v>0</v>
      </c>
      <c r="D10" s="220" t="str">
        <f t="shared" si="2"/>
        <v/>
      </c>
      <c r="E10" s="298" t="str">
        <f t="shared" si="3"/>
        <v/>
      </c>
      <c r="F10" s="87">
        <f t="shared" si="4"/>
        <v>42037</v>
      </c>
      <c r="G10" s="147"/>
      <c r="H10" s="74"/>
      <c r="I10" s="75"/>
      <c r="J10" s="221">
        <f t="shared" si="5"/>
        <v>0</v>
      </c>
      <c r="K10" s="76"/>
      <c r="L10" s="221">
        <f>IF(J10-K10&gt;=Pause_9,Pause_9p,IF(J10-K10&gt;=Pause_6,Pause_6p,0))</f>
        <v>0</v>
      </c>
      <c r="M10" s="74"/>
      <c r="N10" s="75"/>
      <c r="O10" s="221">
        <f t="shared" si="6"/>
        <v>0</v>
      </c>
      <c r="P10" s="76"/>
      <c r="Q10" s="221">
        <f>IF(O10-P10&gt;Pause_9,Pause_9p,IF(O10-P10&gt;Pause_6,Pause_6p,0))</f>
        <v>0</v>
      </c>
      <c r="R10" s="221">
        <f>IF(J10+O10-K10-P10&gt;Pause_9,Pause_9p,IF(J10+O10-K10-P10&gt;Pause_6,Pause_6p,0))</f>
        <v>0</v>
      </c>
      <c r="S10" s="221">
        <f t="shared" si="7"/>
        <v>0</v>
      </c>
      <c r="T10" s="79">
        <f t="shared" si="8"/>
        <v>0</v>
      </c>
      <c r="U10" s="79">
        <f t="shared" si="39"/>
        <v>0</v>
      </c>
      <c r="V10" s="80">
        <f t="shared" ca="1" si="9"/>
        <v>0</v>
      </c>
      <c r="W10" s="249" t="str">
        <f t="shared" ca="1" si="10"/>
        <v/>
      </c>
      <c r="X10" s="293"/>
      <c r="Y10" s="221">
        <f t="shared" si="11"/>
        <v>0</v>
      </c>
      <c r="Z10" s="299">
        <f ca="1">IF(B10="","",INDIRECT(ADDRESS(MATCH(B10,Soll_AZ,1)+MATCH("Arbeitszeit 1 ab",Voreinstellung_Übersicht!B:B,0)-1,WEEKDAY(B10,2)+4,,,"Voreinstellung_Übersicht"),TRUE))</f>
        <v>0</v>
      </c>
      <c r="AA10" s="300">
        <f t="shared" ca="1" si="40"/>
        <v>0</v>
      </c>
      <c r="AB10" s="219">
        <f t="shared" si="12"/>
        <v>0</v>
      </c>
      <c r="AC10" s="219">
        <f t="shared" si="13"/>
        <v>0</v>
      </c>
      <c r="AD10" s="219">
        <f t="shared" si="14"/>
        <v>0</v>
      </c>
      <c r="AE10" s="219">
        <f t="shared" si="15"/>
        <v>0</v>
      </c>
      <c r="AF10" s="219">
        <f t="shared" si="16"/>
        <v>0</v>
      </c>
      <c r="AG10" s="219">
        <f t="shared" si="17"/>
        <v>0</v>
      </c>
      <c r="AH10" s="219">
        <f t="shared" si="18"/>
        <v>0</v>
      </c>
      <c r="AI10" s="219">
        <f t="shared" si="19"/>
        <v>0</v>
      </c>
      <c r="AJ10" s="219">
        <f t="shared" si="20"/>
        <v>0</v>
      </c>
      <c r="AK10" s="219">
        <f t="shared" si="21"/>
        <v>0</v>
      </c>
      <c r="AL10" s="219">
        <f t="shared" si="22"/>
        <v>0</v>
      </c>
      <c r="AM10" s="219">
        <f t="shared" si="23"/>
        <v>0</v>
      </c>
      <c r="AN10" s="301">
        <f t="shared" si="24"/>
        <v>0</v>
      </c>
      <c r="AO10" s="301">
        <f t="shared" si="25"/>
        <v>0</v>
      </c>
      <c r="AP10" s="301">
        <f t="shared" si="26"/>
        <v>0</v>
      </c>
      <c r="AQ10" s="301">
        <f t="shared" si="27"/>
        <v>0</v>
      </c>
      <c r="AR10" s="301">
        <f t="shared" si="28"/>
        <v>0</v>
      </c>
      <c r="AS10" s="301">
        <f t="shared" si="29"/>
        <v>0</v>
      </c>
      <c r="AT10" s="302">
        <f t="shared" si="30"/>
        <v>0</v>
      </c>
      <c r="AU10" s="302">
        <f t="shared" si="31"/>
        <v>0</v>
      </c>
      <c r="AV10" s="81">
        <f t="shared" si="32"/>
        <v>0</v>
      </c>
      <c r="AW10" s="82">
        <f t="shared" si="33"/>
        <v>0</v>
      </c>
      <c r="AX10" s="81">
        <f t="shared" si="34"/>
        <v>0</v>
      </c>
      <c r="AY10" s="83">
        <f t="shared" si="35"/>
        <v>0</v>
      </c>
      <c r="AZ10" s="83">
        <f t="shared" si="36"/>
        <v>0</v>
      </c>
      <c r="BA10" s="82">
        <f>IF(OR(B10=Feiertage!$A$16,B10=Feiertage!$A$19),U10*Zuschläge_24_31/100,IF(AZ10&gt;0,AZ10*Feiertag_mit/100,IF(AX10&gt;0,AX10*Zuschläge_Sa/100,IF(AY10&gt;0,AY10*Zuschlag_So/100,0))))</f>
        <v>0</v>
      </c>
      <c r="BB10" s="82">
        <f>IF(AND(B10&lt;&gt;0,G10=Voreinstellung_Übersicht!$D$41),IF(EG=1,W10*Über_klein/100,IF(EG=2,W10*Über_groß/100,"Fehler")),0)</f>
        <v>0</v>
      </c>
      <c r="BC10" s="299">
        <f t="shared" ca="1" si="41"/>
        <v>0</v>
      </c>
      <c r="BD10" s="219">
        <f t="shared" ca="1" si="37"/>
        <v>1</v>
      </c>
      <c r="BE10" s="303">
        <f ca="1">IF(B10="","",INDIRECT(ADDRESS(MATCH(B10,Soll_AZ,1)+MATCH("Arbeitszeit 1 ab",Voreinstellung_Übersicht!B:B,0)-1,4,,,"Voreinstellung_Übersicht"),TRUE))</f>
        <v>1.6666666666666665</v>
      </c>
      <c r="BF10" s="1">
        <f t="shared" si="42"/>
        <v>0</v>
      </c>
    </row>
    <row r="11" spans="1:58" s="1" customFormat="1" ht="15" x14ac:dyDescent="0.3">
      <c r="A11" s="218">
        <f t="shared" si="0"/>
        <v>6</v>
      </c>
      <c r="B11" s="47">
        <f t="shared" si="38"/>
        <v>42038</v>
      </c>
      <c r="C11" s="219">
        <f t="shared" si="1"/>
        <v>1</v>
      </c>
      <c r="D11" s="220" t="str">
        <f t="shared" si="2"/>
        <v/>
      </c>
      <c r="E11" s="298" t="str">
        <f t="shared" si="3"/>
        <v/>
      </c>
      <c r="F11" s="87">
        <f t="shared" si="4"/>
        <v>42038</v>
      </c>
      <c r="G11" s="147"/>
      <c r="H11" s="74"/>
      <c r="I11" s="75"/>
      <c r="J11" s="221">
        <f t="shared" si="5"/>
        <v>0</v>
      </c>
      <c r="K11" s="76"/>
      <c r="L11" s="221">
        <f>IF(J11-K11&gt;=Pause_9,Pause_9p,IF(J11-K11&gt;=Pause_6,Pause_6p,0))</f>
        <v>0</v>
      </c>
      <c r="M11" s="74"/>
      <c r="N11" s="75"/>
      <c r="O11" s="221">
        <f t="shared" si="6"/>
        <v>0</v>
      </c>
      <c r="P11" s="76"/>
      <c r="Q11" s="221">
        <f>IF(O11-P11&gt;Pause_9,Pause_9p,IF(O11-P11&gt;Pause_6,Pause_6p,0))</f>
        <v>0</v>
      </c>
      <c r="R11" s="221">
        <f>IF(J11+O11-K11-P11&gt;Pause_9,Pause_9p,IF(J11+O11-K11-P11&gt;Pause_6,Pause_6p,0))</f>
        <v>0</v>
      </c>
      <c r="S11" s="221">
        <f t="shared" si="7"/>
        <v>0</v>
      </c>
      <c r="T11" s="79">
        <f t="shared" si="8"/>
        <v>0</v>
      </c>
      <c r="U11" s="79">
        <f t="shared" si="39"/>
        <v>0</v>
      </c>
      <c r="V11" s="80">
        <f t="shared" ca="1" si="9"/>
        <v>0.33333333329999998</v>
      </c>
      <c r="W11" s="249" t="str">
        <f t="shared" ca="1" si="10"/>
        <v/>
      </c>
      <c r="X11" s="293"/>
      <c r="Y11" s="221">
        <f t="shared" si="11"/>
        <v>0</v>
      </c>
      <c r="Z11" s="299">
        <f ca="1">IF(B11="","",INDIRECT(ADDRESS(MATCH(B11,Soll_AZ,1)+MATCH("Arbeitszeit 1 ab",Voreinstellung_Übersicht!B:B,0)-1,WEEKDAY(B11,2)+4,,,"Voreinstellung_Übersicht"),TRUE))</f>
        <v>0.33333333333333331</v>
      </c>
      <c r="AA11" s="300">
        <f t="shared" ca="1" si="40"/>
        <v>0</v>
      </c>
      <c r="AB11" s="219">
        <f t="shared" si="12"/>
        <v>0</v>
      </c>
      <c r="AC11" s="219">
        <f t="shared" si="13"/>
        <v>0</v>
      </c>
      <c r="AD11" s="219">
        <f t="shared" si="14"/>
        <v>0</v>
      </c>
      <c r="AE11" s="219">
        <f t="shared" si="15"/>
        <v>0</v>
      </c>
      <c r="AF11" s="219">
        <f t="shared" si="16"/>
        <v>0</v>
      </c>
      <c r="AG11" s="219">
        <f t="shared" si="17"/>
        <v>0</v>
      </c>
      <c r="AH11" s="219">
        <f t="shared" si="18"/>
        <v>0</v>
      </c>
      <c r="AI11" s="219">
        <f t="shared" si="19"/>
        <v>0</v>
      </c>
      <c r="AJ11" s="219">
        <f t="shared" si="20"/>
        <v>0</v>
      </c>
      <c r="AK11" s="219">
        <f t="shared" si="21"/>
        <v>0</v>
      </c>
      <c r="AL11" s="219">
        <f t="shared" si="22"/>
        <v>0</v>
      </c>
      <c r="AM11" s="219">
        <f t="shared" si="23"/>
        <v>0</v>
      </c>
      <c r="AN11" s="301">
        <f t="shared" si="24"/>
        <v>0</v>
      </c>
      <c r="AO11" s="301">
        <f t="shared" si="25"/>
        <v>0</v>
      </c>
      <c r="AP11" s="301">
        <f t="shared" si="26"/>
        <v>0</v>
      </c>
      <c r="AQ11" s="301">
        <f t="shared" si="27"/>
        <v>0</v>
      </c>
      <c r="AR11" s="301">
        <f t="shared" si="28"/>
        <v>0</v>
      </c>
      <c r="AS11" s="301">
        <f t="shared" si="29"/>
        <v>0</v>
      </c>
      <c r="AT11" s="302">
        <f t="shared" si="30"/>
        <v>0</v>
      </c>
      <c r="AU11" s="302">
        <f t="shared" si="31"/>
        <v>0</v>
      </c>
      <c r="AV11" s="81">
        <f t="shared" si="32"/>
        <v>0</v>
      </c>
      <c r="AW11" s="82">
        <f t="shared" si="33"/>
        <v>0</v>
      </c>
      <c r="AX11" s="81">
        <f t="shared" si="34"/>
        <v>0</v>
      </c>
      <c r="AY11" s="83">
        <f t="shared" si="35"/>
        <v>0</v>
      </c>
      <c r="AZ11" s="83">
        <f t="shared" si="36"/>
        <v>0</v>
      </c>
      <c r="BA11" s="82">
        <f>IF(OR(B11=Feiertage!$A$16,B11=Feiertage!$A$19),U11*Zuschläge_24_31/100,IF(AZ11&gt;0,AZ11*Feiertag_mit/100,IF(AX11&gt;0,AX11*Zuschläge_Sa/100,IF(AY11&gt;0,AY11*Zuschlag_So/100,0))))</f>
        <v>0</v>
      </c>
      <c r="BB11" s="82">
        <f>IF(AND(B11&lt;&gt;0,G11=Voreinstellung_Übersicht!$D$41),IF(EG=1,W11*Über_klein/100,IF(EG=2,W11*Über_groß/100,"Fehler")),0)</f>
        <v>0</v>
      </c>
      <c r="BC11" s="299">
        <f t="shared" ca="1" si="41"/>
        <v>0</v>
      </c>
      <c r="BD11" s="219">
        <f t="shared" ca="1" si="37"/>
        <v>1</v>
      </c>
      <c r="BE11" s="303">
        <f ca="1">IF(B11="","",INDIRECT(ADDRESS(MATCH(B11,Soll_AZ,1)+MATCH("Arbeitszeit 1 ab",Voreinstellung_Übersicht!B:B,0)-1,4,,,"Voreinstellung_Übersicht"),TRUE))</f>
        <v>1.6666666666666665</v>
      </c>
      <c r="BF11" s="1">
        <f t="shared" si="42"/>
        <v>0</v>
      </c>
    </row>
    <row r="12" spans="1:58" s="1" customFormat="1" ht="15" x14ac:dyDescent="0.3">
      <c r="A12" s="218">
        <f t="shared" si="0"/>
        <v>6</v>
      </c>
      <c r="B12" s="47">
        <f t="shared" si="38"/>
        <v>42039</v>
      </c>
      <c r="C12" s="219">
        <f t="shared" si="1"/>
        <v>1</v>
      </c>
      <c r="D12" s="220" t="str">
        <f t="shared" si="2"/>
        <v/>
      </c>
      <c r="E12" s="298" t="str">
        <f t="shared" si="3"/>
        <v/>
      </c>
      <c r="F12" s="87">
        <f t="shared" si="4"/>
        <v>42039</v>
      </c>
      <c r="G12" s="147"/>
      <c r="H12" s="74"/>
      <c r="I12" s="75"/>
      <c r="J12" s="221">
        <f t="shared" si="5"/>
        <v>0</v>
      </c>
      <c r="K12" s="76"/>
      <c r="L12" s="221">
        <f t="shared" ref="L12:L36" si="43">IF(J12&gt;=Pause_9,Pause_9p,IF(J12&gt;=Pause_6,Pause_6p,0))</f>
        <v>0</v>
      </c>
      <c r="M12" s="74"/>
      <c r="N12" s="75"/>
      <c r="O12" s="221">
        <f t="shared" si="6"/>
        <v>0</v>
      </c>
      <c r="P12" s="76"/>
      <c r="Q12" s="221">
        <f t="shared" ref="Q12:Q36" si="44">IF(O12&gt;Pause_9,Pause_9p,IF(O12&gt;=Pause_6,Pause_6p,0))</f>
        <v>0</v>
      </c>
      <c r="R12" s="221">
        <f t="shared" ref="R12:R36" si="45">IF(J12+O12&gt;=Pause_9,Pause_9p,IF(J12+O12&gt;=Pause_6,Pause_6p,0))</f>
        <v>0</v>
      </c>
      <c r="S12" s="221">
        <f t="shared" si="7"/>
        <v>0</v>
      </c>
      <c r="T12" s="79">
        <f t="shared" si="8"/>
        <v>0</v>
      </c>
      <c r="U12" s="79">
        <f t="shared" si="39"/>
        <v>0</v>
      </c>
      <c r="V12" s="80">
        <f t="shared" ca="1" si="9"/>
        <v>0.33333333329999998</v>
      </c>
      <c r="W12" s="249" t="str">
        <f t="shared" ca="1" si="10"/>
        <v/>
      </c>
      <c r="X12" s="293"/>
      <c r="Y12" s="221">
        <f t="shared" si="11"/>
        <v>0</v>
      </c>
      <c r="Z12" s="299">
        <f ca="1">IF(B12="","",INDIRECT(ADDRESS(MATCH(B12,Soll_AZ,1)+MATCH("Arbeitszeit 1 ab",Voreinstellung_Übersicht!B:B,0)-1,WEEKDAY(B12,2)+4,,,"Voreinstellung_Übersicht"),TRUE))</f>
        <v>0.33333333333333331</v>
      </c>
      <c r="AA12" s="300">
        <f t="shared" ca="1" si="40"/>
        <v>0</v>
      </c>
      <c r="AB12" s="219">
        <f t="shared" si="12"/>
        <v>0</v>
      </c>
      <c r="AC12" s="219">
        <f t="shared" si="13"/>
        <v>0</v>
      </c>
      <c r="AD12" s="219">
        <f t="shared" si="14"/>
        <v>0</v>
      </c>
      <c r="AE12" s="219">
        <f t="shared" si="15"/>
        <v>0</v>
      </c>
      <c r="AF12" s="219">
        <f t="shared" si="16"/>
        <v>0</v>
      </c>
      <c r="AG12" s="219">
        <f t="shared" si="17"/>
        <v>0</v>
      </c>
      <c r="AH12" s="219">
        <f t="shared" si="18"/>
        <v>0</v>
      </c>
      <c r="AI12" s="219">
        <f t="shared" si="19"/>
        <v>0</v>
      </c>
      <c r="AJ12" s="219">
        <f t="shared" si="20"/>
        <v>0</v>
      </c>
      <c r="AK12" s="219">
        <f t="shared" si="21"/>
        <v>0</v>
      </c>
      <c r="AL12" s="219">
        <f t="shared" si="22"/>
        <v>0</v>
      </c>
      <c r="AM12" s="219">
        <f t="shared" si="23"/>
        <v>0</v>
      </c>
      <c r="AN12" s="301">
        <f t="shared" si="24"/>
        <v>0</v>
      </c>
      <c r="AO12" s="301">
        <f t="shared" si="25"/>
        <v>0</v>
      </c>
      <c r="AP12" s="301">
        <f t="shared" si="26"/>
        <v>0</v>
      </c>
      <c r="AQ12" s="301">
        <f t="shared" si="27"/>
        <v>0</v>
      </c>
      <c r="AR12" s="301">
        <f t="shared" si="28"/>
        <v>0</v>
      </c>
      <c r="AS12" s="301">
        <f t="shared" si="29"/>
        <v>0</v>
      </c>
      <c r="AT12" s="302">
        <f t="shared" si="30"/>
        <v>0</v>
      </c>
      <c r="AU12" s="302">
        <f t="shared" si="31"/>
        <v>0</v>
      </c>
      <c r="AV12" s="81">
        <f t="shared" si="32"/>
        <v>0</v>
      </c>
      <c r="AW12" s="82">
        <f t="shared" si="33"/>
        <v>0</v>
      </c>
      <c r="AX12" s="81">
        <f t="shared" si="34"/>
        <v>0</v>
      </c>
      <c r="AY12" s="83">
        <f t="shared" si="35"/>
        <v>0</v>
      </c>
      <c r="AZ12" s="83">
        <f t="shared" si="36"/>
        <v>0</v>
      </c>
      <c r="BA12" s="82">
        <f>IF(OR(B12=Feiertage!$A$16,B12=Feiertage!$A$19),U12*Zuschläge_24_31/100,IF(AZ12&gt;0,AZ12*Feiertag_mit/100,IF(AX12&gt;0,AX12*Zuschläge_Sa/100,IF(AY12&gt;0,AY12*Zuschlag_So/100,0))))</f>
        <v>0</v>
      </c>
      <c r="BB12" s="82">
        <f>IF(AND(B12&lt;&gt;0,G12=Voreinstellung_Übersicht!$D$41),IF(EG=1,W12*Über_klein/100,IF(EG=2,W12*Über_groß/100,"Fehler")),0)</f>
        <v>0</v>
      </c>
      <c r="BC12" s="299">
        <f t="shared" ca="1" si="41"/>
        <v>0</v>
      </c>
      <c r="BD12" s="219">
        <f t="shared" ca="1" si="37"/>
        <v>1</v>
      </c>
      <c r="BE12" s="303">
        <f ca="1">IF(B12="","",INDIRECT(ADDRESS(MATCH(B12,Soll_AZ,1)+MATCH("Arbeitszeit 1 ab",Voreinstellung_Übersicht!B:B,0)-1,4,,,"Voreinstellung_Übersicht"),TRUE))</f>
        <v>1.6666666666666665</v>
      </c>
      <c r="BF12" s="1">
        <f t="shared" si="42"/>
        <v>0</v>
      </c>
    </row>
    <row r="13" spans="1:58" s="1" customFormat="1" ht="15" x14ac:dyDescent="0.3">
      <c r="A13" s="218">
        <f t="shared" si="0"/>
        <v>6</v>
      </c>
      <c r="B13" s="47">
        <f t="shared" si="38"/>
        <v>42040</v>
      </c>
      <c r="C13" s="219">
        <f t="shared" si="1"/>
        <v>1</v>
      </c>
      <c r="D13" s="220" t="str">
        <f t="shared" si="2"/>
        <v/>
      </c>
      <c r="E13" s="298" t="str">
        <f t="shared" si="3"/>
        <v/>
      </c>
      <c r="F13" s="87">
        <f t="shared" si="4"/>
        <v>42040</v>
      </c>
      <c r="G13" s="147"/>
      <c r="H13" s="74"/>
      <c r="I13" s="75"/>
      <c r="J13" s="221">
        <f t="shared" si="5"/>
        <v>0</v>
      </c>
      <c r="K13" s="76"/>
      <c r="L13" s="221">
        <f t="shared" si="43"/>
        <v>0</v>
      </c>
      <c r="M13" s="74"/>
      <c r="N13" s="75"/>
      <c r="O13" s="221">
        <f t="shared" si="6"/>
        <v>0</v>
      </c>
      <c r="P13" s="76"/>
      <c r="Q13" s="221">
        <f t="shared" si="44"/>
        <v>0</v>
      </c>
      <c r="R13" s="221">
        <f t="shared" si="45"/>
        <v>0</v>
      </c>
      <c r="S13" s="221">
        <f t="shared" si="7"/>
        <v>0</v>
      </c>
      <c r="T13" s="79">
        <f t="shared" si="8"/>
        <v>0</v>
      </c>
      <c r="U13" s="79">
        <f t="shared" si="39"/>
        <v>0</v>
      </c>
      <c r="V13" s="80">
        <f t="shared" ca="1" si="9"/>
        <v>0.33333333329999998</v>
      </c>
      <c r="W13" s="249" t="str">
        <f t="shared" ca="1" si="10"/>
        <v/>
      </c>
      <c r="X13" s="293"/>
      <c r="Y13" s="221">
        <f t="shared" si="11"/>
        <v>0</v>
      </c>
      <c r="Z13" s="299">
        <f ca="1">IF(B13="","",INDIRECT(ADDRESS(MATCH(B13,Soll_AZ,1)+MATCH("Arbeitszeit 1 ab",Voreinstellung_Übersicht!B:B,0)-1,WEEKDAY(B13,2)+4,,,"Voreinstellung_Übersicht"),TRUE))</f>
        <v>0.33333333333333331</v>
      </c>
      <c r="AA13" s="300">
        <f t="shared" ca="1" si="40"/>
        <v>0</v>
      </c>
      <c r="AB13" s="219">
        <f t="shared" si="12"/>
        <v>0</v>
      </c>
      <c r="AC13" s="219">
        <f t="shared" si="13"/>
        <v>0</v>
      </c>
      <c r="AD13" s="219">
        <f t="shared" si="14"/>
        <v>0</v>
      </c>
      <c r="AE13" s="219">
        <f t="shared" si="15"/>
        <v>0</v>
      </c>
      <c r="AF13" s="219">
        <f t="shared" si="16"/>
        <v>0</v>
      </c>
      <c r="AG13" s="219">
        <f t="shared" si="17"/>
        <v>0</v>
      </c>
      <c r="AH13" s="219">
        <f t="shared" si="18"/>
        <v>0</v>
      </c>
      <c r="AI13" s="219">
        <f t="shared" si="19"/>
        <v>0</v>
      </c>
      <c r="AJ13" s="219">
        <f t="shared" si="20"/>
        <v>0</v>
      </c>
      <c r="AK13" s="219">
        <f t="shared" si="21"/>
        <v>0</v>
      </c>
      <c r="AL13" s="219">
        <f t="shared" si="22"/>
        <v>0</v>
      </c>
      <c r="AM13" s="219">
        <f t="shared" si="23"/>
        <v>0</v>
      </c>
      <c r="AN13" s="301">
        <f t="shared" si="24"/>
        <v>0</v>
      </c>
      <c r="AO13" s="301">
        <f t="shared" si="25"/>
        <v>0</v>
      </c>
      <c r="AP13" s="301">
        <f t="shared" si="26"/>
        <v>0</v>
      </c>
      <c r="AQ13" s="301">
        <f t="shared" si="27"/>
        <v>0</v>
      </c>
      <c r="AR13" s="301">
        <f t="shared" si="28"/>
        <v>0</v>
      </c>
      <c r="AS13" s="301">
        <f t="shared" si="29"/>
        <v>0</v>
      </c>
      <c r="AT13" s="302">
        <f t="shared" si="30"/>
        <v>0</v>
      </c>
      <c r="AU13" s="302">
        <f t="shared" si="31"/>
        <v>0</v>
      </c>
      <c r="AV13" s="81">
        <f t="shared" si="32"/>
        <v>0</v>
      </c>
      <c r="AW13" s="82">
        <f t="shared" si="33"/>
        <v>0</v>
      </c>
      <c r="AX13" s="81">
        <f t="shared" si="34"/>
        <v>0</v>
      </c>
      <c r="AY13" s="83">
        <f t="shared" si="35"/>
        <v>0</v>
      </c>
      <c r="AZ13" s="83">
        <f t="shared" si="36"/>
        <v>0</v>
      </c>
      <c r="BA13" s="82">
        <f>IF(OR(B13=Feiertage!$A$16,B13=Feiertage!$A$19),U13*Zuschläge_24_31/100,IF(AZ13&gt;0,AZ13*Feiertag_mit/100,IF(AX13&gt;0,AX13*Zuschläge_Sa/100,IF(AY13&gt;0,AY13*Zuschlag_So/100,0))))</f>
        <v>0</v>
      </c>
      <c r="BB13" s="82">
        <f>IF(AND(B13&lt;&gt;0,G13=Voreinstellung_Übersicht!$D$41),IF(EG=1,W13*Über_klein/100,IF(EG=2,W13*Über_groß/100,"Fehler")),0)</f>
        <v>0</v>
      </c>
      <c r="BC13" s="299">
        <f t="shared" ca="1" si="41"/>
        <v>0</v>
      </c>
      <c r="BD13" s="219">
        <f t="shared" ca="1" si="37"/>
        <v>1</v>
      </c>
      <c r="BE13" s="303">
        <f ca="1">IF(B13="","",INDIRECT(ADDRESS(MATCH(B13,Soll_AZ,1)+MATCH("Arbeitszeit 1 ab",Voreinstellung_Übersicht!B:B,0)-1,4,,,"Voreinstellung_Übersicht"),TRUE))</f>
        <v>1.6666666666666665</v>
      </c>
      <c r="BF13" s="1">
        <f t="shared" si="42"/>
        <v>0</v>
      </c>
    </row>
    <row r="14" spans="1:58" s="1" customFormat="1" ht="15" x14ac:dyDescent="0.3">
      <c r="A14" s="218">
        <f t="shared" si="0"/>
        <v>6</v>
      </c>
      <c r="B14" s="47">
        <f t="shared" si="38"/>
        <v>42041</v>
      </c>
      <c r="C14" s="219">
        <f t="shared" si="1"/>
        <v>1</v>
      </c>
      <c r="D14" s="220" t="str">
        <f t="shared" si="2"/>
        <v/>
      </c>
      <c r="E14" s="298" t="str">
        <f t="shared" si="3"/>
        <v/>
      </c>
      <c r="F14" s="87">
        <f t="shared" si="4"/>
        <v>42041</v>
      </c>
      <c r="G14" s="147"/>
      <c r="H14" s="74"/>
      <c r="I14" s="75"/>
      <c r="J14" s="221">
        <f t="shared" si="5"/>
        <v>0</v>
      </c>
      <c r="K14" s="76"/>
      <c r="L14" s="221">
        <f t="shared" si="43"/>
        <v>0</v>
      </c>
      <c r="M14" s="74"/>
      <c r="N14" s="75"/>
      <c r="O14" s="221">
        <f t="shared" si="6"/>
        <v>0</v>
      </c>
      <c r="P14" s="76"/>
      <c r="Q14" s="221">
        <f t="shared" si="44"/>
        <v>0</v>
      </c>
      <c r="R14" s="221">
        <f t="shared" si="45"/>
        <v>0</v>
      </c>
      <c r="S14" s="221">
        <f t="shared" si="7"/>
        <v>0</v>
      </c>
      <c r="T14" s="79">
        <f t="shared" si="8"/>
        <v>0</v>
      </c>
      <c r="U14" s="79">
        <f t="shared" si="39"/>
        <v>0</v>
      </c>
      <c r="V14" s="80">
        <f t="shared" ca="1" si="9"/>
        <v>0.33333333329999998</v>
      </c>
      <c r="W14" s="249" t="str">
        <f t="shared" ca="1" si="10"/>
        <v/>
      </c>
      <c r="X14" s="293"/>
      <c r="Y14" s="221">
        <f t="shared" si="11"/>
        <v>0</v>
      </c>
      <c r="Z14" s="299">
        <f ca="1">IF(B14="","",INDIRECT(ADDRESS(MATCH(B14,Soll_AZ,1)+MATCH("Arbeitszeit 1 ab",Voreinstellung_Übersicht!B:B,0)-1,WEEKDAY(B14,2)+4,,,"Voreinstellung_Übersicht"),TRUE))</f>
        <v>0.33333333333333331</v>
      </c>
      <c r="AA14" s="300">
        <f t="shared" ca="1" si="40"/>
        <v>0</v>
      </c>
      <c r="AB14" s="219">
        <f t="shared" si="12"/>
        <v>0</v>
      </c>
      <c r="AC14" s="219">
        <f t="shared" si="13"/>
        <v>0</v>
      </c>
      <c r="AD14" s="219">
        <f t="shared" si="14"/>
        <v>0</v>
      </c>
      <c r="AE14" s="219">
        <f t="shared" si="15"/>
        <v>0</v>
      </c>
      <c r="AF14" s="219">
        <f t="shared" si="16"/>
        <v>0</v>
      </c>
      <c r="AG14" s="219">
        <f t="shared" si="17"/>
        <v>0</v>
      </c>
      <c r="AH14" s="219">
        <f t="shared" si="18"/>
        <v>0</v>
      </c>
      <c r="AI14" s="219">
        <f t="shared" si="19"/>
        <v>0</v>
      </c>
      <c r="AJ14" s="219">
        <f t="shared" si="20"/>
        <v>0</v>
      </c>
      <c r="AK14" s="219">
        <f t="shared" si="21"/>
        <v>0</v>
      </c>
      <c r="AL14" s="219">
        <f t="shared" si="22"/>
        <v>0</v>
      </c>
      <c r="AM14" s="219">
        <f t="shared" si="23"/>
        <v>0</v>
      </c>
      <c r="AN14" s="301">
        <f t="shared" si="24"/>
        <v>0</v>
      </c>
      <c r="AO14" s="301">
        <f t="shared" si="25"/>
        <v>0</v>
      </c>
      <c r="AP14" s="301">
        <f t="shared" si="26"/>
        <v>0</v>
      </c>
      <c r="AQ14" s="301">
        <f t="shared" si="27"/>
        <v>0</v>
      </c>
      <c r="AR14" s="301">
        <f t="shared" si="28"/>
        <v>0</v>
      </c>
      <c r="AS14" s="301">
        <f t="shared" si="29"/>
        <v>0</v>
      </c>
      <c r="AT14" s="302">
        <f t="shared" si="30"/>
        <v>0</v>
      </c>
      <c r="AU14" s="302">
        <f t="shared" si="31"/>
        <v>0</v>
      </c>
      <c r="AV14" s="81">
        <f t="shared" si="32"/>
        <v>0</v>
      </c>
      <c r="AW14" s="82">
        <f t="shared" si="33"/>
        <v>0</v>
      </c>
      <c r="AX14" s="81">
        <f t="shared" si="34"/>
        <v>0</v>
      </c>
      <c r="AY14" s="83">
        <f t="shared" si="35"/>
        <v>0</v>
      </c>
      <c r="AZ14" s="83">
        <f t="shared" si="36"/>
        <v>0</v>
      </c>
      <c r="BA14" s="82">
        <f>IF(OR(B14=Feiertage!$A$16,B14=Feiertage!$A$19),U14*Zuschläge_24_31/100,IF(AZ14&gt;0,AZ14*Feiertag_mit/100,IF(AX14&gt;0,AX14*Zuschläge_Sa/100,IF(AY14&gt;0,AY14*Zuschlag_So/100,0))))</f>
        <v>0</v>
      </c>
      <c r="BB14" s="82">
        <f>IF(AND(B14&lt;&gt;0,G14=Voreinstellung_Übersicht!$D$41),IF(EG=1,W14*Über_klein/100,IF(EG=2,W14*Über_groß/100,"Fehler")),0)</f>
        <v>0</v>
      </c>
      <c r="BC14" s="299">
        <f t="shared" ca="1" si="41"/>
        <v>0</v>
      </c>
      <c r="BD14" s="219">
        <f t="shared" ca="1" si="37"/>
        <v>1</v>
      </c>
      <c r="BE14" s="303">
        <f ca="1">IF(B14="","",INDIRECT(ADDRESS(MATCH(B14,Soll_AZ,1)+MATCH("Arbeitszeit 1 ab",Voreinstellung_Übersicht!B:B,0)-1,4,,,"Voreinstellung_Übersicht"),TRUE))</f>
        <v>1.6666666666666665</v>
      </c>
      <c r="BF14" s="1">
        <f t="shared" si="42"/>
        <v>0</v>
      </c>
    </row>
    <row r="15" spans="1:58" s="1" customFormat="1" ht="15" x14ac:dyDescent="0.3">
      <c r="A15" s="218">
        <f t="shared" si="0"/>
        <v>6</v>
      </c>
      <c r="B15" s="47">
        <f t="shared" si="38"/>
        <v>42042</v>
      </c>
      <c r="C15" s="219">
        <f t="shared" si="1"/>
        <v>1</v>
      </c>
      <c r="D15" s="220" t="str">
        <f t="shared" si="2"/>
        <v/>
      </c>
      <c r="E15" s="298" t="str">
        <f t="shared" si="3"/>
        <v/>
      </c>
      <c r="F15" s="87">
        <f t="shared" si="4"/>
        <v>42042</v>
      </c>
      <c r="G15" s="147"/>
      <c r="H15" s="74"/>
      <c r="I15" s="75"/>
      <c r="J15" s="221">
        <f t="shared" si="5"/>
        <v>0</v>
      </c>
      <c r="K15" s="76"/>
      <c r="L15" s="221">
        <f t="shared" si="43"/>
        <v>0</v>
      </c>
      <c r="M15" s="74"/>
      <c r="N15" s="75"/>
      <c r="O15" s="221">
        <f t="shared" si="6"/>
        <v>0</v>
      </c>
      <c r="P15" s="76"/>
      <c r="Q15" s="221">
        <f t="shared" si="44"/>
        <v>0</v>
      </c>
      <c r="R15" s="221">
        <f t="shared" si="45"/>
        <v>0</v>
      </c>
      <c r="S15" s="221">
        <f t="shared" si="7"/>
        <v>0</v>
      </c>
      <c r="T15" s="79">
        <f t="shared" si="8"/>
        <v>0</v>
      </c>
      <c r="U15" s="79">
        <f t="shared" si="39"/>
        <v>0</v>
      </c>
      <c r="V15" s="80">
        <f t="shared" ca="1" si="9"/>
        <v>0.33333333329999998</v>
      </c>
      <c r="W15" s="249" t="str">
        <f t="shared" ca="1" si="10"/>
        <v/>
      </c>
      <c r="X15" s="293"/>
      <c r="Y15" s="221">
        <f t="shared" si="11"/>
        <v>0</v>
      </c>
      <c r="Z15" s="299">
        <f ca="1">IF(B15="","",INDIRECT(ADDRESS(MATCH(B15,Soll_AZ,1)+MATCH("Arbeitszeit 1 ab",Voreinstellung_Übersicht!B:B,0)-1,WEEKDAY(B15,2)+4,,,"Voreinstellung_Übersicht"),TRUE))</f>
        <v>0.33333333333333331</v>
      </c>
      <c r="AA15" s="300">
        <f t="shared" ca="1" si="40"/>
        <v>0</v>
      </c>
      <c r="AB15" s="219">
        <f t="shared" si="12"/>
        <v>0</v>
      </c>
      <c r="AC15" s="219">
        <f t="shared" si="13"/>
        <v>0</v>
      </c>
      <c r="AD15" s="219">
        <f t="shared" si="14"/>
        <v>0</v>
      </c>
      <c r="AE15" s="219">
        <f t="shared" si="15"/>
        <v>0</v>
      </c>
      <c r="AF15" s="219">
        <f t="shared" si="16"/>
        <v>0</v>
      </c>
      <c r="AG15" s="219">
        <f t="shared" si="17"/>
        <v>0</v>
      </c>
      <c r="AH15" s="219">
        <f t="shared" si="18"/>
        <v>0</v>
      </c>
      <c r="AI15" s="219">
        <f t="shared" si="19"/>
        <v>0</v>
      </c>
      <c r="AJ15" s="219">
        <f t="shared" si="20"/>
        <v>0</v>
      </c>
      <c r="AK15" s="219">
        <f t="shared" si="21"/>
        <v>0</v>
      </c>
      <c r="AL15" s="219">
        <f t="shared" si="22"/>
        <v>0</v>
      </c>
      <c r="AM15" s="219">
        <f t="shared" si="23"/>
        <v>0</v>
      </c>
      <c r="AN15" s="301">
        <f t="shared" si="24"/>
        <v>0</v>
      </c>
      <c r="AO15" s="301">
        <f t="shared" si="25"/>
        <v>0</v>
      </c>
      <c r="AP15" s="301">
        <f t="shared" si="26"/>
        <v>0</v>
      </c>
      <c r="AQ15" s="301">
        <f t="shared" si="27"/>
        <v>0</v>
      </c>
      <c r="AR15" s="301">
        <f t="shared" si="28"/>
        <v>0</v>
      </c>
      <c r="AS15" s="301">
        <f t="shared" si="29"/>
        <v>0</v>
      </c>
      <c r="AT15" s="302">
        <f t="shared" si="30"/>
        <v>0</v>
      </c>
      <c r="AU15" s="302">
        <f t="shared" si="31"/>
        <v>0</v>
      </c>
      <c r="AV15" s="81">
        <f t="shared" si="32"/>
        <v>0</v>
      </c>
      <c r="AW15" s="82">
        <f t="shared" si="33"/>
        <v>0</v>
      </c>
      <c r="AX15" s="81">
        <f t="shared" si="34"/>
        <v>0</v>
      </c>
      <c r="AY15" s="83">
        <f t="shared" si="35"/>
        <v>0</v>
      </c>
      <c r="AZ15" s="83">
        <f t="shared" si="36"/>
        <v>0</v>
      </c>
      <c r="BA15" s="82">
        <f>IF(OR(B15=Feiertage!$A$16,B15=Feiertage!$A$19),U15*Zuschläge_24_31/100,IF(AZ15&gt;0,AZ15*Feiertag_mit/100,IF(AX15&gt;0,AX15*Zuschläge_Sa/100,IF(AY15&gt;0,AY15*Zuschlag_So/100,0))))</f>
        <v>0</v>
      </c>
      <c r="BB15" s="82">
        <f>IF(AND(B15&lt;&gt;0,G15=Voreinstellung_Übersicht!$D$41),IF(EG=1,W15*Über_klein/100,IF(EG=2,W15*Über_groß/100,"Fehler")),0)</f>
        <v>0</v>
      </c>
      <c r="BC15" s="299">
        <f t="shared" ca="1" si="41"/>
        <v>0</v>
      </c>
      <c r="BD15" s="219">
        <f t="shared" ca="1" si="37"/>
        <v>1</v>
      </c>
      <c r="BE15" s="303">
        <f ca="1">IF(B15="","",INDIRECT(ADDRESS(MATCH(B15,Soll_AZ,1)+MATCH("Arbeitszeit 1 ab",Voreinstellung_Übersicht!B:B,0)-1,4,,,"Voreinstellung_Übersicht"),TRUE))</f>
        <v>1.6666666666666665</v>
      </c>
      <c r="BF15" s="1">
        <f t="shared" si="42"/>
        <v>0</v>
      </c>
    </row>
    <row r="16" spans="1:58" s="1" customFormat="1" ht="15" x14ac:dyDescent="0.3">
      <c r="A16" s="218">
        <f t="shared" si="0"/>
        <v>6</v>
      </c>
      <c r="B16" s="47">
        <f t="shared" si="38"/>
        <v>42043</v>
      </c>
      <c r="C16" s="219">
        <f t="shared" si="1"/>
        <v>0</v>
      </c>
      <c r="D16" s="220" t="str">
        <f t="shared" si="2"/>
        <v/>
      </c>
      <c r="E16" s="298" t="str">
        <f t="shared" si="3"/>
        <v/>
      </c>
      <c r="F16" s="87">
        <f t="shared" si="4"/>
        <v>42043</v>
      </c>
      <c r="G16" s="147"/>
      <c r="H16" s="74"/>
      <c r="I16" s="75"/>
      <c r="J16" s="221">
        <f t="shared" si="5"/>
        <v>0</v>
      </c>
      <c r="K16" s="76"/>
      <c r="L16" s="221">
        <f t="shared" si="43"/>
        <v>0</v>
      </c>
      <c r="M16" s="74"/>
      <c r="N16" s="75"/>
      <c r="O16" s="221">
        <f t="shared" si="6"/>
        <v>0</v>
      </c>
      <c r="P16" s="76"/>
      <c r="Q16" s="221">
        <f t="shared" si="44"/>
        <v>0</v>
      </c>
      <c r="R16" s="221">
        <f t="shared" si="45"/>
        <v>0</v>
      </c>
      <c r="S16" s="221">
        <f t="shared" si="7"/>
        <v>0</v>
      </c>
      <c r="T16" s="79">
        <f t="shared" si="8"/>
        <v>0</v>
      </c>
      <c r="U16" s="79">
        <f t="shared" si="39"/>
        <v>0</v>
      </c>
      <c r="V16" s="80">
        <f t="shared" ca="1" si="9"/>
        <v>0</v>
      </c>
      <c r="W16" s="249" t="str">
        <f t="shared" ca="1" si="10"/>
        <v/>
      </c>
      <c r="X16" s="293"/>
      <c r="Y16" s="221">
        <f t="shared" si="11"/>
        <v>0</v>
      </c>
      <c r="Z16" s="299">
        <f ca="1">IF(B16="","",INDIRECT(ADDRESS(MATCH(B16,Soll_AZ,1)+MATCH("Arbeitszeit 1 ab",Voreinstellung_Übersicht!B:B,0)-1,WEEKDAY(B16,2)+4,,,"Voreinstellung_Übersicht"),TRUE))</f>
        <v>0</v>
      </c>
      <c r="AA16" s="300">
        <f t="shared" ca="1" si="40"/>
        <v>0</v>
      </c>
      <c r="AB16" s="219">
        <f t="shared" si="12"/>
        <v>0</v>
      </c>
      <c r="AC16" s="219">
        <f t="shared" si="13"/>
        <v>0</v>
      </c>
      <c r="AD16" s="219">
        <f t="shared" si="14"/>
        <v>0</v>
      </c>
      <c r="AE16" s="219">
        <f t="shared" si="15"/>
        <v>0</v>
      </c>
      <c r="AF16" s="219">
        <f t="shared" si="16"/>
        <v>0</v>
      </c>
      <c r="AG16" s="219">
        <f t="shared" si="17"/>
        <v>0</v>
      </c>
      <c r="AH16" s="219">
        <f t="shared" si="18"/>
        <v>0</v>
      </c>
      <c r="AI16" s="219">
        <f t="shared" si="19"/>
        <v>0</v>
      </c>
      <c r="AJ16" s="219">
        <f t="shared" si="20"/>
        <v>0</v>
      </c>
      <c r="AK16" s="219">
        <f t="shared" si="21"/>
        <v>0</v>
      </c>
      <c r="AL16" s="219">
        <f t="shared" si="22"/>
        <v>0</v>
      </c>
      <c r="AM16" s="219">
        <f t="shared" si="23"/>
        <v>0</v>
      </c>
      <c r="AN16" s="301">
        <f t="shared" si="24"/>
        <v>0</v>
      </c>
      <c r="AO16" s="301">
        <f t="shared" si="25"/>
        <v>0</v>
      </c>
      <c r="AP16" s="301">
        <f t="shared" si="26"/>
        <v>0</v>
      </c>
      <c r="AQ16" s="301">
        <f t="shared" si="27"/>
        <v>0</v>
      </c>
      <c r="AR16" s="301">
        <f t="shared" si="28"/>
        <v>0</v>
      </c>
      <c r="AS16" s="301">
        <f t="shared" si="29"/>
        <v>0</v>
      </c>
      <c r="AT16" s="302">
        <f t="shared" si="30"/>
        <v>0</v>
      </c>
      <c r="AU16" s="302">
        <f t="shared" si="31"/>
        <v>0</v>
      </c>
      <c r="AV16" s="81">
        <f t="shared" si="32"/>
        <v>0</v>
      </c>
      <c r="AW16" s="82">
        <f t="shared" si="33"/>
        <v>0</v>
      </c>
      <c r="AX16" s="81">
        <f t="shared" si="34"/>
        <v>0</v>
      </c>
      <c r="AY16" s="83">
        <f t="shared" si="35"/>
        <v>0</v>
      </c>
      <c r="AZ16" s="83">
        <f t="shared" si="36"/>
        <v>0</v>
      </c>
      <c r="BA16" s="82">
        <f>IF(OR(B16=Feiertage!$A$16,B16=Feiertage!$A$19),U16*Zuschläge_24_31/100,IF(AZ16&gt;0,AZ16*Feiertag_mit/100,IF(AX16&gt;0,AX16*Zuschläge_Sa/100,IF(AY16&gt;0,AY16*Zuschlag_So/100,0))))</f>
        <v>0</v>
      </c>
      <c r="BB16" s="82">
        <f>IF(AND(B16&lt;&gt;0,G16=Voreinstellung_Übersicht!$D$41),IF(EG=1,W16*Über_klein/100,IF(EG=2,W16*Über_groß/100,"Fehler")),0)</f>
        <v>0</v>
      </c>
      <c r="BC16" s="299">
        <f t="shared" ca="1" si="41"/>
        <v>0</v>
      </c>
      <c r="BD16" s="219">
        <f t="shared" ca="1" si="37"/>
        <v>1</v>
      </c>
      <c r="BE16" s="303">
        <f ca="1">IF(B16="","",INDIRECT(ADDRESS(MATCH(B16,Soll_AZ,1)+MATCH("Arbeitszeit 1 ab",Voreinstellung_Übersicht!B:B,0)-1,4,,,"Voreinstellung_Übersicht"),TRUE))</f>
        <v>1.6666666666666665</v>
      </c>
      <c r="BF16" s="1">
        <f t="shared" si="42"/>
        <v>0</v>
      </c>
    </row>
    <row r="17" spans="1:58" s="1" customFormat="1" ht="15" x14ac:dyDescent="0.3">
      <c r="A17" s="218">
        <f t="shared" si="0"/>
        <v>7</v>
      </c>
      <c r="B17" s="47">
        <f t="shared" si="38"/>
        <v>42044</v>
      </c>
      <c r="C17" s="219">
        <f t="shared" si="1"/>
        <v>0</v>
      </c>
      <c r="D17" s="220" t="str">
        <f t="shared" si="2"/>
        <v/>
      </c>
      <c r="E17" s="298" t="str">
        <f t="shared" si="3"/>
        <v/>
      </c>
      <c r="F17" s="87">
        <f t="shared" si="4"/>
        <v>42044</v>
      </c>
      <c r="G17" s="147"/>
      <c r="H17" s="74"/>
      <c r="I17" s="75"/>
      <c r="J17" s="221">
        <f t="shared" si="5"/>
        <v>0</v>
      </c>
      <c r="K17" s="76"/>
      <c r="L17" s="221">
        <f t="shared" si="43"/>
        <v>0</v>
      </c>
      <c r="M17" s="74"/>
      <c r="N17" s="75"/>
      <c r="O17" s="221">
        <f t="shared" si="6"/>
        <v>0</v>
      </c>
      <c r="P17" s="76"/>
      <c r="Q17" s="221">
        <f t="shared" si="44"/>
        <v>0</v>
      </c>
      <c r="R17" s="221">
        <f t="shared" si="45"/>
        <v>0</v>
      </c>
      <c r="S17" s="221">
        <f t="shared" si="7"/>
        <v>0</v>
      </c>
      <c r="T17" s="79">
        <f t="shared" si="8"/>
        <v>0</v>
      </c>
      <c r="U17" s="79">
        <f t="shared" si="39"/>
        <v>0</v>
      </c>
      <c r="V17" s="80">
        <f t="shared" ca="1" si="9"/>
        <v>0</v>
      </c>
      <c r="W17" s="249" t="str">
        <f t="shared" ca="1" si="10"/>
        <v/>
      </c>
      <c r="X17" s="293"/>
      <c r="Y17" s="221">
        <f t="shared" si="11"/>
        <v>0</v>
      </c>
      <c r="Z17" s="299">
        <f ca="1">IF(B17="","",INDIRECT(ADDRESS(MATCH(B17,Soll_AZ,1)+MATCH("Arbeitszeit 1 ab",Voreinstellung_Übersicht!B:B,0)-1,WEEKDAY(B17,2)+4,,,"Voreinstellung_Übersicht"),TRUE))</f>
        <v>0</v>
      </c>
      <c r="AA17" s="300">
        <f t="shared" ca="1" si="40"/>
        <v>0</v>
      </c>
      <c r="AB17" s="219">
        <f t="shared" si="12"/>
        <v>0</v>
      </c>
      <c r="AC17" s="219">
        <f t="shared" si="13"/>
        <v>0</v>
      </c>
      <c r="AD17" s="219">
        <f t="shared" si="14"/>
        <v>0</v>
      </c>
      <c r="AE17" s="219">
        <f t="shared" si="15"/>
        <v>0</v>
      </c>
      <c r="AF17" s="219">
        <f t="shared" si="16"/>
        <v>0</v>
      </c>
      <c r="AG17" s="219">
        <f t="shared" si="17"/>
        <v>0</v>
      </c>
      <c r="AH17" s="219">
        <f t="shared" si="18"/>
        <v>0</v>
      </c>
      <c r="AI17" s="219">
        <f t="shared" si="19"/>
        <v>0</v>
      </c>
      <c r="AJ17" s="219">
        <f t="shared" si="20"/>
        <v>0</v>
      </c>
      <c r="AK17" s="219">
        <f t="shared" si="21"/>
        <v>0</v>
      </c>
      <c r="AL17" s="219">
        <f t="shared" si="22"/>
        <v>0</v>
      </c>
      <c r="AM17" s="219">
        <f t="shared" si="23"/>
        <v>0</v>
      </c>
      <c r="AN17" s="301">
        <f t="shared" si="24"/>
        <v>0</v>
      </c>
      <c r="AO17" s="301">
        <f t="shared" si="25"/>
        <v>0</v>
      </c>
      <c r="AP17" s="301">
        <f t="shared" si="26"/>
        <v>0</v>
      </c>
      <c r="AQ17" s="301">
        <f t="shared" si="27"/>
        <v>0</v>
      </c>
      <c r="AR17" s="301">
        <f t="shared" si="28"/>
        <v>0</v>
      </c>
      <c r="AS17" s="301">
        <f t="shared" si="29"/>
        <v>0</v>
      </c>
      <c r="AT17" s="302">
        <f t="shared" si="30"/>
        <v>0</v>
      </c>
      <c r="AU17" s="302">
        <f t="shared" si="31"/>
        <v>0</v>
      </c>
      <c r="AV17" s="81">
        <f t="shared" si="32"/>
        <v>0</v>
      </c>
      <c r="AW17" s="82">
        <f t="shared" si="33"/>
        <v>0</v>
      </c>
      <c r="AX17" s="81">
        <f t="shared" si="34"/>
        <v>0</v>
      </c>
      <c r="AY17" s="83">
        <f t="shared" si="35"/>
        <v>0</v>
      </c>
      <c r="AZ17" s="83">
        <f t="shared" si="36"/>
        <v>0</v>
      </c>
      <c r="BA17" s="82">
        <f>IF(OR(B17=Feiertage!$A$16,B17=Feiertage!$A$19),U17*Zuschläge_24_31/100,IF(AZ17&gt;0,AZ17*Feiertag_mit/100,IF(AX17&gt;0,AX17*Zuschläge_Sa/100,IF(AY17&gt;0,AY17*Zuschlag_So/100,0))))</f>
        <v>0</v>
      </c>
      <c r="BB17" s="82">
        <f>IF(AND(B17&lt;&gt;0,G17=Voreinstellung_Übersicht!$D$41),IF(EG=1,W17*Über_klein/100,IF(EG=2,W17*Über_groß/100,"Fehler")),0)</f>
        <v>0</v>
      </c>
      <c r="BC17" s="299">
        <f t="shared" ca="1" si="41"/>
        <v>0</v>
      </c>
      <c r="BD17" s="219">
        <f t="shared" ca="1" si="37"/>
        <v>1</v>
      </c>
      <c r="BE17" s="303">
        <f ca="1">IF(B17="","",INDIRECT(ADDRESS(MATCH(B17,Soll_AZ,1)+MATCH("Arbeitszeit 1 ab",Voreinstellung_Übersicht!B:B,0)-1,4,,,"Voreinstellung_Übersicht"),TRUE))</f>
        <v>1.6666666666666665</v>
      </c>
      <c r="BF17" s="1">
        <f t="shared" si="42"/>
        <v>0</v>
      </c>
    </row>
    <row r="18" spans="1:58" s="1" customFormat="1" ht="15" x14ac:dyDescent="0.3">
      <c r="A18" s="218">
        <f t="shared" si="0"/>
        <v>7</v>
      </c>
      <c r="B18" s="47">
        <f t="shared" si="38"/>
        <v>42045</v>
      </c>
      <c r="C18" s="219">
        <f t="shared" si="1"/>
        <v>1</v>
      </c>
      <c r="D18" s="220" t="str">
        <f t="shared" si="2"/>
        <v/>
      </c>
      <c r="E18" s="298" t="str">
        <f t="shared" si="3"/>
        <v/>
      </c>
      <c r="F18" s="87">
        <f t="shared" si="4"/>
        <v>42045</v>
      </c>
      <c r="G18" s="147"/>
      <c r="H18" s="74"/>
      <c r="I18" s="75"/>
      <c r="J18" s="221">
        <f t="shared" si="5"/>
        <v>0</v>
      </c>
      <c r="K18" s="76"/>
      <c r="L18" s="221">
        <f t="shared" si="43"/>
        <v>0</v>
      </c>
      <c r="M18" s="74"/>
      <c r="N18" s="75"/>
      <c r="O18" s="221">
        <f t="shared" si="6"/>
        <v>0</v>
      </c>
      <c r="P18" s="76"/>
      <c r="Q18" s="221">
        <f t="shared" si="44"/>
        <v>0</v>
      </c>
      <c r="R18" s="221">
        <f t="shared" si="45"/>
        <v>0</v>
      </c>
      <c r="S18" s="221">
        <f t="shared" si="7"/>
        <v>0</v>
      </c>
      <c r="T18" s="79">
        <f t="shared" si="8"/>
        <v>0</v>
      </c>
      <c r="U18" s="79">
        <f t="shared" si="39"/>
        <v>0</v>
      </c>
      <c r="V18" s="80">
        <f t="shared" ca="1" si="9"/>
        <v>0.33333333329999998</v>
      </c>
      <c r="W18" s="249" t="str">
        <f t="shared" ca="1" si="10"/>
        <v/>
      </c>
      <c r="X18" s="293"/>
      <c r="Y18" s="221">
        <f t="shared" si="11"/>
        <v>0</v>
      </c>
      <c r="Z18" s="299">
        <f ca="1">IF(B18="","",INDIRECT(ADDRESS(MATCH(B18,Soll_AZ,1)+MATCH("Arbeitszeit 1 ab",Voreinstellung_Übersicht!B:B,0)-1,WEEKDAY(B18,2)+4,,,"Voreinstellung_Übersicht"),TRUE))</f>
        <v>0.33333333333333331</v>
      </c>
      <c r="AA18" s="300">
        <f t="shared" ca="1" si="40"/>
        <v>0</v>
      </c>
      <c r="AB18" s="219">
        <f t="shared" si="12"/>
        <v>0</v>
      </c>
      <c r="AC18" s="219">
        <f t="shared" si="13"/>
        <v>0</v>
      </c>
      <c r="AD18" s="219">
        <f t="shared" si="14"/>
        <v>0</v>
      </c>
      <c r="AE18" s="219">
        <f t="shared" si="15"/>
        <v>0</v>
      </c>
      <c r="AF18" s="219">
        <f t="shared" si="16"/>
        <v>0</v>
      </c>
      <c r="AG18" s="219">
        <f t="shared" si="17"/>
        <v>0</v>
      </c>
      <c r="AH18" s="219">
        <f t="shared" si="18"/>
        <v>0</v>
      </c>
      <c r="AI18" s="219">
        <f t="shared" si="19"/>
        <v>0</v>
      </c>
      <c r="AJ18" s="219">
        <f t="shared" si="20"/>
        <v>0</v>
      </c>
      <c r="AK18" s="219">
        <f t="shared" si="21"/>
        <v>0</v>
      </c>
      <c r="AL18" s="219">
        <f t="shared" si="22"/>
        <v>0</v>
      </c>
      <c r="AM18" s="219">
        <f t="shared" si="23"/>
        <v>0</v>
      </c>
      <c r="AN18" s="301">
        <f t="shared" si="24"/>
        <v>0</v>
      </c>
      <c r="AO18" s="301">
        <f t="shared" si="25"/>
        <v>0</v>
      </c>
      <c r="AP18" s="301">
        <f t="shared" si="26"/>
        <v>0</v>
      </c>
      <c r="AQ18" s="301">
        <f t="shared" si="27"/>
        <v>0</v>
      </c>
      <c r="AR18" s="301">
        <f t="shared" si="28"/>
        <v>0</v>
      </c>
      <c r="AS18" s="301">
        <f t="shared" si="29"/>
        <v>0</v>
      </c>
      <c r="AT18" s="302">
        <f t="shared" si="30"/>
        <v>0</v>
      </c>
      <c r="AU18" s="302">
        <f t="shared" si="31"/>
        <v>0</v>
      </c>
      <c r="AV18" s="81">
        <f t="shared" si="32"/>
        <v>0</v>
      </c>
      <c r="AW18" s="82">
        <f t="shared" si="33"/>
        <v>0</v>
      </c>
      <c r="AX18" s="81">
        <f t="shared" si="34"/>
        <v>0</v>
      </c>
      <c r="AY18" s="83">
        <f t="shared" si="35"/>
        <v>0</v>
      </c>
      <c r="AZ18" s="83">
        <f t="shared" si="36"/>
        <v>0</v>
      </c>
      <c r="BA18" s="82">
        <f>IF(OR(B18=Feiertage!$A$16,B18=Feiertage!$A$19),U18*Zuschläge_24_31/100,IF(AZ18&gt;0,AZ18*Feiertag_mit/100,IF(AX18&gt;0,AX18*Zuschläge_Sa/100,IF(AY18&gt;0,AY18*Zuschlag_So/100,0))))</f>
        <v>0</v>
      </c>
      <c r="BB18" s="82">
        <f>IF(AND(B18&lt;&gt;0,G18=Voreinstellung_Übersicht!$D$41),IF(EG=1,W18*Über_klein/100,IF(EG=2,W18*Über_groß/100,"Fehler")),0)</f>
        <v>0</v>
      </c>
      <c r="BC18" s="299">
        <f t="shared" ca="1" si="41"/>
        <v>0</v>
      </c>
      <c r="BD18" s="219">
        <f t="shared" ca="1" si="37"/>
        <v>1</v>
      </c>
      <c r="BE18" s="303">
        <f ca="1">IF(B18="","",INDIRECT(ADDRESS(MATCH(B18,Soll_AZ,1)+MATCH("Arbeitszeit 1 ab",Voreinstellung_Übersicht!B:B,0)-1,4,,,"Voreinstellung_Übersicht"),TRUE))</f>
        <v>1.6666666666666665</v>
      </c>
      <c r="BF18" s="1">
        <f t="shared" si="42"/>
        <v>0</v>
      </c>
    </row>
    <row r="19" spans="1:58" s="1" customFormat="1" ht="15" x14ac:dyDescent="0.3">
      <c r="A19" s="218">
        <f t="shared" si="0"/>
        <v>7</v>
      </c>
      <c r="B19" s="47">
        <f t="shared" si="38"/>
        <v>42046</v>
      </c>
      <c r="C19" s="219">
        <f t="shared" si="1"/>
        <v>1</v>
      </c>
      <c r="D19" s="220" t="str">
        <f t="shared" si="2"/>
        <v/>
      </c>
      <c r="E19" s="298" t="str">
        <f t="shared" si="3"/>
        <v/>
      </c>
      <c r="F19" s="87">
        <f t="shared" si="4"/>
        <v>42046</v>
      </c>
      <c r="G19" s="147"/>
      <c r="H19" s="74"/>
      <c r="I19" s="75"/>
      <c r="J19" s="221">
        <f t="shared" si="5"/>
        <v>0</v>
      </c>
      <c r="K19" s="76"/>
      <c r="L19" s="221">
        <f t="shared" si="43"/>
        <v>0</v>
      </c>
      <c r="M19" s="74"/>
      <c r="N19" s="75"/>
      <c r="O19" s="221">
        <f t="shared" si="6"/>
        <v>0</v>
      </c>
      <c r="P19" s="76"/>
      <c r="Q19" s="221">
        <f t="shared" si="44"/>
        <v>0</v>
      </c>
      <c r="R19" s="221">
        <f t="shared" si="45"/>
        <v>0</v>
      </c>
      <c r="S19" s="221">
        <f t="shared" si="7"/>
        <v>0</v>
      </c>
      <c r="T19" s="79">
        <f t="shared" si="8"/>
        <v>0</v>
      </c>
      <c r="U19" s="79">
        <f t="shared" si="39"/>
        <v>0</v>
      </c>
      <c r="V19" s="80">
        <f t="shared" ca="1" si="9"/>
        <v>0.33333333329999998</v>
      </c>
      <c r="W19" s="249" t="str">
        <f t="shared" ca="1" si="10"/>
        <v/>
      </c>
      <c r="X19" s="293"/>
      <c r="Y19" s="221">
        <f t="shared" si="11"/>
        <v>0</v>
      </c>
      <c r="Z19" s="299">
        <f ca="1">IF(B19="","",INDIRECT(ADDRESS(MATCH(B19,Soll_AZ,1)+MATCH("Arbeitszeit 1 ab",Voreinstellung_Übersicht!B:B,0)-1,WEEKDAY(B19,2)+4,,,"Voreinstellung_Übersicht"),TRUE))</f>
        <v>0.33333333333333331</v>
      </c>
      <c r="AA19" s="300">
        <f t="shared" ca="1" si="40"/>
        <v>0</v>
      </c>
      <c r="AB19" s="219">
        <f t="shared" si="12"/>
        <v>0</v>
      </c>
      <c r="AC19" s="219">
        <f t="shared" si="13"/>
        <v>0</v>
      </c>
      <c r="AD19" s="219">
        <f t="shared" si="14"/>
        <v>0</v>
      </c>
      <c r="AE19" s="219">
        <f t="shared" si="15"/>
        <v>0</v>
      </c>
      <c r="AF19" s="219">
        <f t="shared" si="16"/>
        <v>0</v>
      </c>
      <c r="AG19" s="219">
        <f t="shared" si="17"/>
        <v>0</v>
      </c>
      <c r="AH19" s="219">
        <f t="shared" si="18"/>
        <v>0</v>
      </c>
      <c r="AI19" s="219">
        <f t="shared" si="19"/>
        <v>0</v>
      </c>
      <c r="AJ19" s="219">
        <f t="shared" si="20"/>
        <v>0</v>
      </c>
      <c r="AK19" s="219">
        <f t="shared" si="21"/>
        <v>0</v>
      </c>
      <c r="AL19" s="219">
        <f t="shared" si="22"/>
        <v>0</v>
      </c>
      <c r="AM19" s="219">
        <f t="shared" si="23"/>
        <v>0</v>
      </c>
      <c r="AN19" s="301">
        <f t="shared" si="24"/>
        <v>0</v>
      </c>
      <c r="AO19" s="301">
        <f t="shared" si="25"/>
        <v>0</v>
      </c>
      <c r="AP19" s="301">
        <f t="shared" si="26"/>
        <v>0</v>
      </c>
      <c r="AQ19" s="301">
        <f t="shared" si="27"/>
        <v>0</v>
      </c>
      <c r="AR19" s="301">
        <f t="shared" si="28"/>
        <v>0</v>
      </c>
      <c r="AS19" s="301">
        <f t="shared" si="29"/>
        <v>0</v>
      </c>
      <c r="AT19" s="302">
        <f t="shared" si="30"/>
        <v>0</v>
      </c>
      <c r="AU19" s="302">
        <f t="shared" si="31"/>
        <v>0</v>
      </c>
      <c r="AV19" s="81">
        <f t="shared" si="32"/>
        <v>0</v>
      </c>
      <c r="AW19" s="82">
        <f t="shared" si="33"/>
        <v>0</v>
      </c>
      <c r="AX19" s="81">
        <f t="shared" si="34"/>
        <v>0</v>
      </c>
      <c r="AY19" s="83">
        <f t="shared" si="35"/>
        <v>0</v>
      </c>
      <c r="AZ19" s="83">
        <f t="shared" si="36"/>
        <v>0</v>
      </c>
      <c r="BA19" s="82">
        <f>IF(OR(B19=Feiertage!$A$16,B19=Feiertage!$A$19),U19*Zuschläge_24_31/100,IF(AZ19&gt;0,AZ19*Feiertag_mit/100,IF(AX19&gt;0,AX19*Zuschläge_Sa/100,IF(AY19&gt;0,AY19*Zuschlag_So/100,0))))</f>
        <v>0</v>
      </c>
      <c r="BB19" s="82">
        <f>IF(AND(B19&lt;&gt;0,G19=Voreinstellung_Übersicht!$D$41),IF(EG=1,W19*Über_klein/100,IF(EG=2,W19*Über_groß/100,"Fehler")),0)</f>
        <v>0</v>
      </c>
      <c r="BC19" s="299">
        <f t="shared" ca="1" si="41"/>
        <v>0</v>
      </c>
      <c r="BD19" s="219">
        <f t="shared" ca="1" si="37"/>
        <v>1</v>
      </c>
      <c r="BE19" s="303">
        <f ca="1">IF(B19="","",INDIRECT(ADDRESS(MATCH(B19,Soll_AZ,1)+MATCH("Arbeitszeit 1 ab",Voreinstellung_Übersicht!B:B,0)-1,4,,,"Voreinstellung_Übersicht"),TRUE))</f>
        <v>1.6666666666666665</v>
      </c>
      <c r="BF19" s="1">
        <f t="shared" si="42"/>
        <v>0</v>
      </c>
    </row>
    <row r="20" spans="1:58" s="1" customFormat="1" ht="15" x14ac:dyDescent="0.3">
      <c r="A20" s="218">
        <f t="shared" si="0"/>
        <v>7</v>
      </c>
      <c r="B20" s="47">
        <f t="shared" si="38"/>
        <v>42047</v>
      </c>
      <c r="C20" s="219">
        <f t="shared" si="1"/>
        <v>1</v>
      </c>
      <c r="D20" s="220" t="str">
        <f t="shared" si="2"/>
        <v/>
      </c>
      <c r="E20" s="298" t="str">
        <f t="shared" si="3"/>
        <v/>
      </c>
      <c r="F20" s="87">
        <f t="shared" si="4"/>
        <v>42047</v>
      </c>
      <c r="G20" s="147"/>
      <c r="H20" s="74"/>
      <c r="I20" s="75"/>
      <c r="J20" s="221">
        <f t="shared" si="5"/>
        <v>0</v>
      </c>
      <c r="K20" s="76"/>
      <c r="L20" s="221">
        <f t="shared" si="43"/>
        <v>0</v>
      </c>
      <c r="M20" s="74"/>
      <c r="N20" s="75"/>
      <c r="O20" s="221">
        <f t="shared" si="6"/>
        <v>0</v>
      </c>
      <c r="P20" s="76"/>
      <c r="Q20" s="221">
        <f t="shared" si="44"/>
        <v>0</v>
      </c>
      <c r="R20" s="221">
        <f t="shared" si="45"/>
        <v>0</v>
      </c>
      <c r="S20" s="221">
        <f t="shared" si="7"/>
        <v>0</v>
      </c>
      <c r="T20" s="79">
        <f t="shared" si="8"/>
        <v>0</v>
      </c>
      <c r="U20" s="79">
        <f t="shared" si="39"/>
        <v>0</v>
      </c>
      <c r="V20" s="80">
        <f t="shared" ca="1" si="9"/>
        <v>0.33333333329999998</v>
      </c>
      <c r="W20" s="249" t="str">
        <f t="shared" ca="1" si="10"/>
        <v/>
      </c>
      <c r="X20" s="293"/>
      <c r="Y20" s="221">
        <f t="shared" si="11"/>
        <v>0</v>
      </c>
      <c r="Z20" s="299">
        <f ca="1">IF(B20="","",INDIRECT(ADDRESS(MATCH(B20,Soll_AZ,1)+MATCH("Arbeitszeit 1 ab",Voreinstellung_Übersicht!B:B,0)-1,WEEKDAY(B20,2)+4,,,"Voreinstellung_Übersicht"),TRUE))</f>
        <v>0.33333333333333331</v>
      </c>
      <c r="AA20" s="300">
        <f t="shared" ca="1" si="40"/>
        <v>0</v>
      </c>
      <c r="AB20" s="219">
        <f t="shared" si="12"/>
        <v>0</v>
      </c>
      <c r="AC20" s="219">
        <f t="shared" si="13"/>
        <v>0</v>
      </c>
      <c r="AD20" s="219">
        <f t="shared" si="14"/>
        <v>0</v>
      </c>
      <c r="AE20" s="219">
        <f t="shared" si="15"/>
        <v>0</v>
      </c>
      <c r="AF20" s="219">
        <f t="shared" si="16"/>
        <v>0</v>
      </c>
      <c r="AG20" s="219">
        <f t="shared" si="17"/>
        <v>0</v>
      </c>
      <c r="AH20" s="219">
        <f t="shared" si="18"/>
        <v>0</v>
      </c>
      <c r="AI20" s="219">
        <f t="shared" si="19"/>
        <v>0</v>
      </c>
      <c r="AJ20" s="219">
        <f t="shared" si="20"/>
        <v>0</v>
      </c>
      <c r="AK20" s="219">
        <f t="shared" si="21"/>
        <v>0</v>
      </c>
      <c r="AL20" s="219">
        <f t="shared" si="22"/>
        <v>0</v>
      </c>
      <c r="AM20" s="219">
        <f t="shared" si="23"/>
        <v>0</v>
      </c>
      <c r="AN20" s="301">
        <f t="shared" si="24"/>
        <v>0</v>
      </c>
      <c r="AO20" s="301">
        <f t="shared" si="25"/>
        <v>0</v>
      </c>
      <c r="AP20" s="301">
        <f t="shared" si="26"/>
        <v>0</v>
      </c>
      <c r="AQ20" s="301">
        <f t="shared" si="27"/>
        <v>0</v>
      </c>
      <c r="AR20" s="301">
        <f t="shared" si="28"/>
        <v>0</v>
      </c>
      <c r="AS20" s="301">
        <f t="shared" si="29"/>
        <v>0</v>
      </c>
      <c r="AT20" s="302">
        <f t="shared" si="30"/>
        <v>0</v>
      </c>
      <c r="AU20" s="302">
        <f t="shared" si="31"/>
        <v>0</v>
      </c>
      <c r="AV20" s="81">
        <f t="shared" si="32"/>
        <v>0</v>
      </c>
      <c r="AW20" s="82">
        <f t="shared" si="33"/>
        <v>0</v>
      </c>
      <c r="AX20" s="81">
        <f t="shared" si="34"/>
        <v>0</v>
      </c>
      <c r="AY20" s="83">
        <f t="shared" si="35"/>
        <v>0</v>
      </c>
      <c r="AZ20" s="83">
        <f t="shared" si="36"/>
        <v>0</v>
      </c>
      <c r="BA20" s="82">
        <f>IF(OR(B20=Feiertage!$A$16,B20=Feiertage!$A$19),U20*Zuschläge_24_31/100,IF(AZ20&gt;0,AZ20*Feiertag_mit/100,IF(AX20&gt;0,AX20*Zuschläge_Sa/100,IF(AY20&gt;0,AY20*Zuschlag_So/100,0))))</f>
        <v>0</v>
      </c>
      <c r="BB20" s="82">
        <f>IF(AND(B20&lt;&gt;0,G20=Voreinstellung_Übersicht!$D$41),IF(EG=1,W20*Über_klein/100,IF(EG=2,W20*Über_groß/100,"Fehler")),0)</f>
        <v>0</v>
      </c>
      <c r="BC20" s="299">
        <f t="shared" ca="1" si="41"/>
        <v>0</v>
      </c>
      <c r="BD20" s="219">
        <f t="shared" ca="1" si="37"/>
        <v>1</v>
      </c>
      <c r="BE20" s="303">
        <f ca="1">IF(B20="","",INDIRECT(ADDRESS(MATCH(B20,Soll_AZ,1)+MATCH("Arbeitszeit 1 ab",Voreinstellung_Übersicht!B:B,0)-1,4,,,"Voreinstellung_Übersicht"),TRUE))</f>
        <v>1.6666666666666665</v>
      </c>
      <c r="BF20" s="1">
        <f t="shared" si="42"/>
        <v>0</v>
      </c>
    </row>
    <row r="21" spans="1:58" s="1" customFormat="1" ht="15" x14ac:dyDescent="0.3">
      <c r="A21" s="218">
        <f t="shared" si="0"/>
        <v>7</v>
      </c>
      <c r="B21" s="47">
        <f t="shared" si="38"/>
        <v>42048</v>
      </c>
      <c r="C21" s="219">
        <f t="shared" si="1"/>
        <v>1</v>
      </c>
      <c r="D21" s="220" t="str">
        <f t="shared" si="2"/>
        <v/>
      </c>
      <c r="E21" s="298" t="str">
        <f t="shared" si="3"/>
        <v/>
      </c>
      <c r="F21" s="87">
        <f t="shared" si="4"/>
        <v>42048</v>
      </c>
      <c r="G21" s="147"/>
      <c r="H21" s="74"/>
      <c r="I21" s="75"/>
      <c r="J21" s="221">
        <f t="shared" si="5"/>
        <v>0</v>
      </c>
      <c r="K21" s="76"/>
      <c r="L21" s="221">
        <f t="shared" si="43"/>
        <v>0</v>
      </c>
      <c r="M21" s="74"/>
      <c r="N21" s="75"/>
      <c r="O21" s="221">
        <f t="shared" si="6"/>
        <v>0</v>
      </c>
      <c r="P21" s="76"/>
      <c r="Q21" s="221">
        <f t="shared" si="44"/>
        <v>0</v>
      </c>
      <c r="R21" s="221">
        <f t="shared" si="45"/>
        <v>0</v>
      </c>
      <c r="S21" s="221">
        <f t="shared" si="7"/>
        <v>0</v>
      </c>
      <c r="T21" s="79">
        <f t="shared" si="8"/>
        <v>0</v>
      </c>
      <c r="U21" s="79">
        <f t="shared" si="39"/>
        <v>0</v>
      </c>
      <c r="V21" s="80">
        <f t="shared" ca="1" si="9"/>
        <v>0.33333333329999998</v>
      </c>
      <c r="W21" s="249" t="str">
        <f t="shared" ca="1" si="10"/>
        <v/>
      </c>
      <c r="X21" s="293"/>
      <c r="Y21" s="221">
        <f t="shared" si="11"/>
        <v>0</v>
      </c>
      <c r="Z21" s="299">
        <f ca="1">IF(B21="","",INDIRECT(ADDRESS(MATCH(B21,Soll_AZ,1)+MATCH("Arbeitszeit 1 ab",Voreinstellung_Übersicht!B:B,0)-1,WEEKDAY(B21,2)+4,,,"Voreinstellung_Übersicht"),TRUE))</f>
        <v>0.33333333333333331</v>
      </c>
      <c r="AA21" s="300">
        <f t="shared" ca="1" si="40"/>
        <v>0</v>
      </c>
      <c r="AB21" s="219">
        <f t="shared" si="12"/>
        <v>0</v>
      </c>
      <c r="AC21" s="219">
        <f t="shared" si="13"/>
        <v>0</v>
      </c>
      <c r="AD21" s="219">
        <f t="shared" si="14"/>
        <v>0</v>
      </c>
      <c r="AE21" s="219">
        <f t="shared" si="15"/>
        <v>0</v>
      </c>
      <c r="AF21" s="219">
        <f t="shared" si="16"/>
        <v>0</v>
      </c>
      <c r="AG21" s="219">
        <f t="shared" si="17"/>
        <v>0</v>
      </c>
      <c r="AH21" s="219">
        <f t="shared" si="18"/>
        <v>0</v>
      </c>
      <c r="AI21" s="219">
        <f t="shared" si="19"/>
        <v>0</v>
      </c>
      <c r="AJ21" s="219">
        <f t="shared" si="20"/>
        <v>0</v>
      </c>
      <c r="AK21" s="219">
        <f t="shared" si="21"/>
        <v>0</v>
      </c>
      <c r="AL21" s="219">
        <f t="shared" si="22"/>
        <v>0</v>
      </c>
      <c r="AM21" s="219">
        <f t="shared" si="23"/>
        <v>0</v>
      </c>
      <c r="AN21" s="301">
        <f t="shared" si="24"/>
        <v>0</v>
      </c>
      <c r="AO21" s="301">
        <f t="shared" si="25"/>
        <v>0</v>
      </c>
      <c r="AP21" s="301">
        <f t="shared" si="26"/>
        <v>0</v>
      </c>
      <c r="AQ21" s="301">
        <f t="shared" si="27"/>
        <v>0</v>
      </c>
      <c r="AR21" s="301">
        <f t="shared" si="28"/>
        <v>0</v>
      </c>
      <c r="AS21" s="301">
        <f t="shared" si="29"/>
        <v>0</v>
      </c>
      <c r="AT21" s="302">
        <f t="shared" si="30"/>
        <v>0</v>
      </c>
      <c r="AU21" s="302">
        <f t="shared" si="31"/>
        <v>0</v>
      </c>
      <c r="AV21" s="81">
        <f t="shared" si="32"/>
        <v>0</v>
      </c>
      <c r="AW21" s="82">
        <f t="shared" si="33"/>
        <v>0</v>
      </c>
      <c r="AX21" s="81">
        <f t="shared" si="34"/>
        <v>0</v>
      </c>
      <c r="AY21" s="83">
        <f t="shared" si="35"/>
        <v>0</v>
      </c>
      <c r="AZ21" s="83">
        <f t="shared" si="36"/>
        <v>0</v>
      </c>
      <c r="BA21" s="82">
        <f>IF(OR(B21=Feiertage!$A$16,B21=Feiertage!$A$19),U21*Zuschläge_24_31/100,IF(AZ21&gt;0,AZ21*Feiertag_mit/100,IF(AX21&gt;0,AX21*Zuschläge_Sa/100,IF(AY21&gt;0,AY21*Zuschlag_So/100,0))))</f>
        <v>0</v>
      </c>
      <c r="BB21" s="82">
        <f>IF(AND(B21&lt;&gt;0,G21=Voreinstellung_Übersicht!$D$41),IF(EG=1,W21*Über_klein/100,IF(EG=2,W21*Über_groß/100,"Fehler")),0)</f>
        <v>0</v>
      </c>
      <c r="BC21" s="299">
        <f t="shared" ca="1" si="41"/>
        <v>0</v>
      </c>
      <c r="BD21" s="219">
        <f t="shared" ca="1" si="37"/>
        <v>1</v>
      </c>
      <c r="BE21" s="303">
        <f ca="1">IF(B21="","",INDIRECT(ADDRESS(MATCH(B21,Soll_AZ,1)+MATCH("Arbeitszeit 1 ab",Voreinstellung_Übersicht!B:B,0)-1,4,,,"Voreinstellung_Übersicht"),TRUE))</f>
        <v>1.6666666666666665</v>
      </c>
      <c r="BF21" s="1">
        <f t="shared" si="42"/>
        <v>0</v>
      </c>
    </row>
    <row r="22" spans="1:58" s="1" customFormat="1" ht="15" x14ac:dyDescent="0.3">
      <c r="A22" s="218">
        <f t="shared" si="0"/>
        <v>7</v>
      </c>
      <c r="B22" s="47">
        <f t="shared" si="38"/>
        <v>42049</v>
      </c>
      <c r="C22" s="219">
        <f t="shared" si="1"/>
        <v>1</v>
      </c>
      <c r="D22" s="220" t="str">
        <f t="shared" si="2"/>
        <v/>
      </c>
      <c r="E22" s="298" t="str">
        <f t="shared" si="3"/>
        <v/>
      </c>
      <c r="F22" s="87">
        <f t="shared" si="4"/>
        <v>42049</v>
      </c>
      <c r="G22" s="147"/>
      <c r="H22" s="74"/>
      <c r="I22" s="75"/>
      <c r="J22" s="221">
        <f t="shared" si="5"/>
        <v>0</v>
      </c>
      <c r="K22" s="76"/>
      <c r="L22" s="221">
        <f t="shared" si="43"/>
        <v>0</v>
      </c>
      <c r="M22" s="74"/>
      <c r="N22" s="75"/>
      <c r="O22" s="221">
        <f t="shared" si="6"/>
        <v>0</v>
      </c>
      <c r="P22" s="76"/>
      <c r="Q22" s="221">
        <f t="shared" si="44"/>
        <v>0</v>
      </c>
      <c r="R22" s="221">
        <f t="shared" si="45"/>
        <v>0</v>
      </c>
      <c r="S22" s="221">
        <f t="shared" si="7"/>
        <v>0</v>
      </c>
      <c r="T22" s="79">
        <f t="shared" si="8"/>
        <v>0</v>
      </c>
      <c r="U22" s="79">
        <f t="shared" si="39"/>
        <v>0</v>
      </c>
      <c r="V22" s="80">
        <f t="shared" ca="1" si="9"/>
        <v>0.33333333329999998</v>
      </c>
      <c r="W22" s="249" t="str">
        <f t="shared" ca="1" si="10"/>
        <v/>
      </c>
      <c r="X22" s="293"/>
      <c r="Y22" s="221">
        <f t="shared" si="11"/>
        <v>0</v>
      </c>
      <c r="Z22" s="299">
        <f ca="1">IF(B22="","",INDIRECT(ADDRESS(MATCH(B22,Soll_AZ,1)+MATCH("Arbeitszeit 1 ab",Voreinstellung_Übersicht!B:B,0)-1,WEEKDAY(B22,2)+4,,,"Voreinstellung_Übersicht"),TRUE))</f>
        <v>0.33333333333333331</v>
      </c>
      <c r="AA22" s="300">
        <f t="shared" ca="1" si="40"/>
        <v>0</v>
      </c>
      <c r="AB22" s="219">
        <f t="shared" si="12"/>
        <v>0</v>
      </c>
      <c r="AC22" s="219">
        <f t="shared" si="13"/>
        <v>0</v>
      </c>
      <c r="AD22" s="219">
        <f t="shared" si="14"/>
        <v>0</v>
      </c>
      <c r="AE22" s="219">
        <f t="shared" si="15"/>
        <v>0</v>
      </c>
      <c r="AF22" s="219">
        <f t="shared" si="16"/>
        <v>0</v>
      </c>
      <c r="AG22" s="219">
        <f t="shared" si="17"/>
        <v>0</v>
      </c>
      <c r="AH22" s="219">
        <f t="shared" si="18"/>
        <v>0</v>
      </c>
      <c r="AI22" s="219">
        <f t="shared" si="19"/>
        <v>0</v>
      </c>
      <c r="AJ22" s="219">
        <f t="shared" si="20"/>
        <v>0</v>
      </c>
      <c r="AK22" s="219">
        <f t="shared" si="21"/>
        <v>0</v>
      </c>
      <c r="AL22" s="219">
        <f t="shared" si="22"/>
        <v>0</v>
      </c>
      <c r="AM22" s="219">
        <f t="shared" si="23"/>
        <v>0</v>
      </c>
      <c r="AN22" s="301">
        <f t="shared" si="24"/>
        <v>0</v>
      </c>
      <c r="AO22" s="301">
        <f t="shared" si="25"/>
        <v>0</v>
      </c>
      <c r="AP22" s="301">
        <f t="shared" si="26"/>
        <v>0</v>
      </c>
      <c r="AQ22" s="301">
        <f t="shared" si="27"/>
        <v>0</v>
      </c>
      <c r="AR22" s="301">
        <f t="shared" si="28"/>
        <v>0</v>
      </c>
      <c r="AS22" s="301">
        <f t="shared" si="29"/>
        <v>0</v>
      </c>
      <c r="AT22" s="302">
        <f t="shared" si="30"/>
        <v>0</v>
      </c>
      <c r="AU22" s="302">
        <f t="shared" si="31"/>
        <v>0</v>
      </c>
      <c r="AV22" s="81">
        <f t="shared" si="32"/>
        <v>0</v>
      </c>
      <c r="AW22" s="82">
        <f t="shared" si="33"/>
        <v>0</v>
      </c>
      <c r="AX22" s="81">
        <f t="shared" si="34"/>
        <v>0</v>
      </c>
      <c r="AY22" s="83">
        <f t="shared" si="35"/>
        <v>0</v>
      </c>
      <c r="AZ22" s="83">
        <f t="shared" si="36"/>
        <v>0</v>
      </c>
      <c r="BA22" s="82">
        <f>IF(OR(B22=Feiertage!$A$16,B22=Feiertage!$A$19),U22*Zuschläge_24_31/100,IF(AZ22&gt;0,AZ22*Feiertag_mit/100,IF(AX22&gt;0,AX22*Zuschläge_Sa/100,IF(AY22&gt;0,AY22*Zuschlag_So/100,0))))</f>
        <v>0</v>
      </c>
      <c r="BB22" s="82">
        <f>IF(AND(B22&lt;&gt;0,G22=Voreinstellung_Übersicht!$D$41),IF(EG=1,W22*Über_klein/100,IF(EG=2,W22*Über_groß/100,"Fehler")),0)</f>
        <v>0</v>
      </c>
      <c r="BC22" s="299">
        <f t="shared" ca="1" si="41"/>
        <v>0</v>
      </c>
      <c r="BD22" s="219">
        <f t="shared" ca="1" si="37"/>
        <v>1</v>
      </c>
      <c r="BE22" s="303">
        <f ca="1">IF(B22="","",INDIRECT(ADDRESS(MATCH(B22,Soll_AZ,1)+MATCH("Arbeitszeit 1 ab",Voreinstellung_Übersicht!B:B,0)-1,4,,,"Voreinstellung_Übersicht"),TRUE))</f>
        <v>1.6666666666666665</v>
      </c>
      <c r="BF22" s="1">
        <f t="shared" si="42"/>
        <v>0</v>
      </c>
    </row>
    <row r="23" spans="1:58" s="1" customFormat="1" ht="15" x14ac:dyDescent="0.3">
      <c r="A23" s="218">
        <f t="shared" si="0"/>
        <v>7</v>
      </c>
      <c r="B23" s="47">
        <f t="shared" si="38"/>
        <v>42050</v>
      </c>
      <c r="C23" s="219">
        <f t="shared" si="1"/>
        <v>0</v>
      </c>
      <c r="D23" s="220" t="str">
        <f t="shared" si="2"/>
        <v/>
      </c>
      <c r="E23" s="298" t="str">
        <f t="shared" si="3"/>
        <v/>
      </c>
      <c r="F23" s="87">
        <f t="shared" si="4"/>
        <v>42050</v>
      </c>
      <c r="G23" s="147"/>
      <c r="H23" s="74"/>
      <c r="I23" s="75"/>
      <c r="J23" s="221">
        <f t="shared" si="5"/>
        <v>0</v>
      </c>
      <c r="K23" s="76"/>
      <c r="L23" s="221">
        <f t="shared" si="43"/>
        <v>0</v>
      </c>
      <c r="M23" s="74"/>
      <c r="N23" s="75"/>
      <c r="O23" s="221">
        <f t="shared" si="6"/>
        <v>0</v>
      </c>
      <c r="P23" s="76"/>
      <c r="Q23" s="221">
        <f t="shared" si="44"/>
        <v>0</v>
      </c>
      <c r="R23" s="221">
        <f t="shared" si="45"/>
        <v>0</v>
      </c>
      <c r="S23" s="221">
        <f t="shared" si="7"/>
        <v>0</v>
      </c>
      <c r="T23" s="79">
        <f t="shared" si="8"/>
        <v>0</v>
      </c>
      <c r="U23" s="79">
        <f t="shared" si="39"/>
        <v>0</v>
      </c>
      <c r="V23" s="80">
        <f t="shared" ca="1" si="9"/>
        <v>0</v>
      </c>
      <c r="W23" s="249" t="str">
        <f t="shared" ca="1" si="10"/>
        <v/>
      </c>
      <c r="X23" s="293"/>
      <c r="Y23" s="221">
        <f t="shared" si="11"/>
        <v>0</v>
      </c>
      <c r="Z23" s="299">
        <f ca="1">IF(B23="","",INDIRECT(ADDRESS(MATCH(B23,Soll_AZ,1)+MATCH("Arbeitszeit 1 ab",Voreinstellung_Übersicht!B:B,0)-1,WEEKDAY(B23,2)+4,,,"Voreinstellung_Übersicht"),TRUE))</f>
        <v>0</v>
      </c>
      <c r="AA23" s="300">
        <f t="shared" ca="1" si="40"/>
        <v>0</v>
      </c>
      <c r="AB23" s="219">
        <f t="shared" si="12"/>
        <v>0</v>
      </c>
      <c r="AC23" s="219">
        <f t="shared" si="13"/>
        <v>0</v>
      </c>
      <c r="AD23" s="219">
        <f t="shared" si="14"/>
        <v>0</v>
      </c>
      <c r="AE23" s="219">
        <f t="shared" si="15"/>
        <v>0</v>
      </c>
      <c r="AF23" s="219">
        <f t="shared" si="16"/>
        <v>0</v>
      </c>
      <c r="AG23" s="219">
        <f t="shared" si="17"/>
        <v>0</v>
      </c>
      <c r="AH23" s="219">
        <f t="shared" si="18"/>
        <v>0</v>
      </c>
      <c r="AI23" s="219">
        <f t="shared" si="19"/>
        <v>0</v>
      </c>
      <c r="AJ23" s="219">
        <f t="shared" si="20"/>
        <v>0</v>
      </c>
      <c r="AK23" s="219">
        <f t="shared" si="21"/>
        <v>0</v>
      </c>
      <c r="AL23" s="219">
        <f t="shared" si="22"/>
        <v>0</v>
      </c>
      <c r="AM23" s="219">
        <f t="shared" si="23"/>
        <v>0</v>
      </c>
      <c r="AN23" s="301">
        <f t="shared" si="24"/>
        <v>0</v>
      </c>
      <c r="AO23" s="301">
        <f t="shared" si="25"/>
        <v>0</v>
      </c>
      <c r="AP23" s="301">
        <f t="shared" si="26"/>
        <v>0</v>
      </c>
      <c r="AQ23" s="301">
        <f t="shared" si="27"/>
        <v>0</v>
      </c>
      <c r="AR23" s="301">
        <f t="shared" si="28"/>
        <v>0</v>
      </c>
      <c r="AS23" s="301">
        <f t="shared" si="29"/>
        <v>0</v>
      </c>
      <c r="AT23" s="302">
        <f t="shared" si="30"/>
        <v>0</v>
      </c>
      <c r="AU23" s="302">
        <f t="shared" si="31"/>
        <v>0</v>
      </c>
      <c r="AV23" s="81">
        <f t="shared" si="32"/>
        <v>0</v>
      </c>
      <c r="AW23" s="82">
        <f t="shared" si="33"/>
        <v>0</v>
      </c>
      <c r="AX23" s="81">
        <f t="shared" si="34"/>
        <v>0</v>
      </c>
      <c r="AY23" s="83">
        <f t="shared" si="35"/>
        <v>0</v>
      </c>
      <c r="AZ23" s="83">
        <f t="shared" si="36"/>
        <v>0</v>
      </c>
      <c r="BA23" s="82">
        <f>IF(OR(B23=Feiertage!$A$16,B23=Feiertage!$A$19),U23*Zuschläge_24_31/100,IF(AZ23&gt;0,AZ23*Feiertag_mit/100,IF(AX23&gt;0,AX23*Zuschläge_Sa/100,IF(AY23&gt;0,AY23*Zuschlag_So/100,0))))</f>
        <v>0</v>
      </c>
      <c r="BB23" s="82">
        <f>IF(AND(B23&lt;&gt;0,G23=Voreinstellung_Übersicht!$D$41),IF(EG=1,W23*Über_klein/100,IF(EG=2,W23*Über_groß/100,"Fehler")),0)</f>
        <v>0</v>
      </c>
      <c r="BC23" s="299">
        <f t="shared" ca="1" si="41"/>
        <v>0</v>
      </c>
      <c r="BD23" s="219">
        <f t="shared" ca="1" si="37"/>
        <v>1</v>
      </c>
      <c r="BE23" s="303">
        <f ca="1">IF(B23="","",INDIRECT(ADDRESS(MATCH(B23,Soll_AZ,1)+MATCH("Arbeitszeit 1 ab",Voreinstellung_Übersicht!B:B,0)-1,4,,,"Voreinstellung_Übersicht"),TRUE))</f>
        <v>1.6666666666666665</v>
      </c>
      <c r="BF23" s="1">
        <f t="shared" si="42"/>
        <v>0</v>
      </c>
    </row>
    <row r="24" spans="1:58" s="1" customFormat="1" ht="15" x14ac:dyDescent="0.3">
      <c r="A24" s="218">
        <f t="shared" si="0"/>
        <v>8</v>
      </c>
      <c r="B24" s="47">
        <f t="shared" si="38"/>
        <v>42051</v>
      </c>
      <c r="C24" s="219">
        <f t="shared" si="1"/>
        <v>0</v>
      </c>
      <c r="D24" s="220" t="str">
        <f t="shared" si="2"/>
        <v/>
      </c>
      <c r="E24" s="298" t="str">
        <f t="shared" si="3"/>
        <v/>
      </c>
      <c r="F24" s="87">
        <f t="shared" si="4"/>
        <v>42051</v>
      </c>
      <c r="G24" s="147"/>
      <c r="H24" s="74"/>
      <c r="I24" s="75"/>
      <c r="J24" s="221">
        <f t="shared" si="5"/>
        <v>0</v>
      </c>
      <c r="K24" s="76"/>
      <c r="L24" s="221">
        <f t="shared" si="43"/>
        <v>0</v>
      </c>
      <c r="M24" s="74"/>
      <c r="N24" s="75"/>
      <c r="O24" s="221">
        <f t="shared" si="6"/>
        <v>0</v>
      </c>
      <c r="P24" s="76"/>
      <c r="Q24" s="221">
        <f t="shared" si="44"/>
        <v>0</v>
      </c>
      <c r="R24" s="221">
        <f t="shared" si="45"/>
        <v>0</v>
      </c>
      <c r="S24" s="221">
        <f t="shared" si="7"/>
        <v>0</v>
      </c>
      <c r="T24" s="79">
        <f t="shared" si="8"/>
        <v>0</v>
      </c>
      <c r="U24" s="79">
        <f t="shared" si="39"/>
        <v>0</v>
      </c>
      <c r="V24" s="80">
        <f t="shared" ca="1" si="9"/>
        <v>0</v>
      </c>
      <c r="W24" s="249" t="str">
        <f t="shared" ca="1" si="10"/>
        <v/>
      </c>
      <c r="X24" s="293"/>
      <c r="Y24" s="221">
        <f t="shared" si="11"/>
        <v>0</v>
      </c>
      <c r="Z24" s="299">
        <f ca="1">IF(B24="","",INDIRECT(ADDRESS(MATCH(B24,Soll_AZ,1)+MATCH("Arbeitszeit 1 ab",Voreinstellung_Übersicht!B:B,0)-1,WEEKDAY(B24,2)+4,,,"Voreinstellung_Übersicht"),TRUE))</f>
        <v>0</v>
      </c>
      <c r="AA24" s="300">
        <f t="shared" ca="1" si="40"/>
        <v>0</v>
      </c>
      <c r="AB24" s="219">
        <f t="shared" si="12"/>
        <v>0</v>
      </c>
      <c r="AC24" s="219">
        <f t="shared" si="13"/>
        <v>0</v>
      </c>
      <c r="AD24" s="219">
        <f t="shared" si="14"/>
        <v>0</v>
      </c>
      <c r="AE24" s="219">
        <f t="shared" si="15"/>
        <v>0</v>
      </c>
      <c r="AF24" s="219">
        <f t="shared" si="16"/>
        <v>0</v>
      </c>
      <c r="AG24" s="219">
        <f t="shared" si="17"/>
        <v>0</v>
      </c>
      <c r="AH24" s="219">
        <f t="shared" si="18"/>
        <v>0</v>
      </c>
      <c r="AI24" s="219">
        <f t="shared" si="19"/>
        <v>0</v>
      </c>
      <c r="AJ24" s="219">
        <f t="shared" si="20"/>
        <v>0</v>
      </c>
      <c r="AK24" s="219">
        <f t="shared" si="21"/>
        <v>0</v>
      </c>
      <c r="AL24" s="219">
        <f t="shared" si="22"/>
        <v>0</v>
      </c>
      <c r="AM24" s="219">
        <f t="shared" si="23"/>
        <v>0</v>
      </c>
      <c r="AN24" s="301">
        <f t="shared" si="24"/>
        <v>0</v>
      </c>
      <c r="AO24" s="301">
        <f t="shared" si="25"/>
        <v>0</v>
      </c>
      <c r="AP24" s="301">
        <f t="shared" si="26"/>
        <v>0</v>
      </c>
      <c r="AQ24" s="301">
        <f t="shared" si="27"/>
        <v>0</v>
      </c>
      <c r="AR24" s="301">
        <f t="shared" si="28"/>
        <v>0</v>
      </c>
      <c r="AS24" s="301">
        <f t="shared" si="29"/>
        <v>0</v>
      </c>
      <c r="AT24" s="302">
        <f t="shared" si="30"/>
        <v>0</v>
      </c>
      <c r="AU24" s="302">
        <f t="shared" si="31"/>
        <v>0</v>
      </c>
      <c r="AV24" s="81">
        <f t="shared" si="32"/>
        <v>0</v>
      </c>
      <c r="AW24" s="82">
        <f t="shared" si="33"/>
        <v>0</v>
      </c>
      <c r="AX24" s="81">
        <f t="shared" si="34"/>
        <v>0</v>
      </c>
      <c r="AY24" s="83">
        <f t="shared" si="35"/>
        <v>0</v>
      </c>
      <c r="AZ24" s="83">
        <f t="shared" si="36"/>
        <v>0</v>
      </c>
      <c r="BA24" s="82">
        <f>IF(OR(B24=Feiertage!$A$16,B24=Feiertage!$A$19),U24*Zuschläge_24_31/100,IF(AZ24&gt;0,AZ24*Feiertag_mit/100,IF(AX24&gt;0,AX24*Zuschläge_Sa/100,IF(AY24&gt;0,AY24*Zuschlag_So/100,0))))</f>
        <v>0</v>
      </c>
      <c r="BB24" s="82">
        <f>IF(AND(B24&lt;&gt;0,G24=Voreinstellung_Übersicht!$D$41),IF(EG=1,W24*Über_klein/100,IF(EG=2,W24*Über_groß/100,"Fehler")),0)</f>
        <v>0</v>
      </c>
      <c r="BC24" s="299">
        <f t="shared" ca="1" si="41"/>
        <v>0</v>
      </c>
      <c r="BD24" s="219">
        <f t="shared" ca="1" si="37"/>
        <v>1</v>
      </c>
      <c r="BE24" s="303">
        <f ca="1">IF(B24="","",INDIRECT(ADDRESS(MATCH(B24,Soll_AZ,1)+MATCH("Arbeitszeit 1 ab",Voreinstellung_Übersicht!B:B,0)-1,4,,,"Voreinstellung_Übersicht"),TRUE))</f>
        <v>1.6666666666666665</v>
      </c>
      <c r="BF24" s="1">
        <f t="shared" si="42"/>
        <v>0</v>
      </c>
    </row>
    <row r="25" spans="1:58" s="1" customFormat="1" ht="15" x14ac:dyDescent="0.3">
      <c r="A25" s="218">
        <f t="shared" si="0"/>
        <v>8</v>
      </c>
      <c r="B25" s="47">
        <f t="shared" si="38"/>
        <v>42052</v>
      </c>
      <c r="C25" s="219">
        <f t="shared" si="1"/>
        <v>1</v>
      </c>
      <c r="D25" s="220" t="str">
        <f t="shared" si="2"/>
        <v/>
      </c>
      <c r="E25" s="298" t="str">
        <f t="shared" si="3"/>
        <v/>
      </c>
      <c r="F25" s="87">
        <f t="shared" si="4"/>
        <v>42052</v>
      </c>
      <c r="G25" s="147"/>
      <c r="H25" s="74"/>
      <c r="I25" s="75"/>
      <c r="J25" s="221">
        <f t="shared" si="5"/>
        <v>0</v>
      </c>
      <c r="K25" s="76"/>
      <c r="L25" s="221">
        <f t="shared" si="43"/>
        <v>0</v>
      </c>
      <c r="M25" s="74"/>
      <c r="N25" s="75"/>
      <c r="O25" s="221">
        <f t="shared" si="6"/>
        <v>0</v>
      </c>
      <c r="P25" s="76"/>
      <c r="Q25" s="221">
        <f t="shared" si="44"/>
        <v>0</v>
      </c>
      <c r="R25" s="221">
        <f t="shared" si="45"/>
        <v>0</v>
      </c>
      <c r="S25" s="221">
        <f t="shared" si="7"/>
        <v>0</v>
      </c>
      <c r="T25" s="79">
        <f t="shared" si="8"/>
        <v>0</v>
      </c>
      <c r="U25" s="79">
        <f t="shared" si="39"/>
        <v>0</v>
      </c>
      <c r="V25" s="80">
        <f t="shared" ca="1" si="9"/>
        <v>0.33333333329999998</v>
      </c>
      <c r="W25" s="249" t="str">
        <f t="shared" ca="1" si="10"/>
        <v/>
      </c>
      <c r="X25" s="293"/>
      <c r="Y25" s="221">
        <f t="shared" si="11"/>
        <v>0</v>
      </c>
      <c r="Z25" s="299">
        <f ca="1">IF(B25="","",INDIRECT(ADDRESS(MATCH(B25,Soll_AZ,1)+MATCH("Arbeitszeit 1 ab",Voreinstellung_Übersicht!B:B,0)-1,WEEKDAY(B25,2)+4,,,"Voreinstellung_Übersicht"),TRUE))</f>
        <v>0.33333333333333331</v>
      </c>
      <c r="AA25" s="300">
        <f t="shared" ca="1" si="40"/>
        <v>0</v>
      </c>
      <c r="AB25" s="219">
        <f t="shared" si="12"/>
        <v>0</v>
      </c>
      <c r="AC25" s="219">
        <f t="shared" si="13"/>
        <v>0</v>
      </c>
      <c r="AD25" s="219">
        <f t="shared" si="14"/>
        <v>0</v>
      </c>
      <c r="AE25" s="219">
        <f t="shared" si="15"/>
        <v>0</v>
      </c>
      <c r="AF25" s="219">
        <f t="shared" si="16"/>
        <v>0</v>
      </c>
      <c r="AG25" s="219">
        <f t="shared" si="17"/>
        <v>0</v>
      </c>
      <c r="AH25" s="219">
        <f t="shared" si="18"/>
        <v>0</v>
      </c>
      <c r="AI25" s="219">
        <f t="shared" si="19"/>
        <v>0</v>
      </c>
      <c r="AJ25" s="219">
        <f t="shared" si="20"/>
        <v>0</v>
      </c>
      <c r="AK25" s="219">
        <f t="shared" si="21"/>
        <v>0</v>
      </c>
      <c r="AL25" s="219">
        <f t="shared" si="22"/>
        <v>0</v>
      </c>
      <c r="AM25" s="219">
        <f t="shared" si="23"/>
        <v>0</v>
      </c>
      <c r="AN25" s="301">
        <f t="shared" si="24"/>
        <v>0</v>
      </c>
      <c r="AO25" s="301">
        <f t="shared" si="25"/>
        <v>0</v>
      </c>
      <c r="AP25" s="301">
        <f t="shared" si="26"/>
        <v>0</v>
      </c>
      <c r="AQ25" s="301">
        <f t="shared" si="27"/>
        <v>0</v>
      </c>
      <c r="AR25" s="301">
        <f t="shared" si="28"/>
        <v>0</v>
      </c>
      <c r="AS25" s="301">
        <f t="shared" si="29"/>
        <v>0</v>
      </c>
      <c r="AT25" s="302">
        <f t="shared" si="30"/>
        <v>0</v>
      </c>
      <c r="AU25" s="302">
        <f t="shared" si="31"/>
        <v>0</v>
      </c>
      <c r="AV25" s="81">
        <f t="shared" si="32"/>
        <v>0</v>
      </c>
      <c r="AW25" s="82">
        <f t="shared" si="33"/>
        <v>0</v>
      </c>
      <c r="AX25" s="81">
        <f t="shared" si="34"/>
        <v>0</v>
      </c>
      <c r="AY25" s="83">
        <f t="shared" si="35"/>
        <v>0</v>
      </c>
      <c r="AZ25" s="83">
        <f t="shared" si="36"/>
        <v>0</v>
      </c>
      <c r="BA25" s="82">
        <f>IF(OR(B25=Feiertage!$A$16,B25=Feiertage!$A$19),U25*Zuschläge_24_31/100,IF(AZ25&gt;0,AZ25*Feiertag_mit/100,IF(AX25&gt;0,AX25*Zuschläge_Sa/100,IF(AY25&gt;0,AY25*Zuschlag_So/100,0))))</f>
        <v>0</v>
      </c>
      <c r="BB25" s="82">
        <f>IF(AND(B25&lt;&gt;0,G25=Voreinstellung_Übersicht!$D$41),IF(EG=1,W25*Über_klein/100,IF(EG=2,W25*Über_groß/100,"Fehler")),0)</f>
        <v>0</v>
      </c>
      <c r="BC25" s="299">
        <f t="shared" ca="1" si="41"/>
        <v>0</v>
      </c>
      <c r="BD25" s="219">
        <f t="shared" ca="1" si="37"/>
        <v>1</v>
      </c>
      <c r="BE25" s="303">
        <f ca="1">IF(B25="","",INDIRECT(ADDRESS(MATCH(B25,Soll_AZ,1)+MATCH("Arbeitszeit 1 ab",Voreinstellung_Übersicht!B:B,0)-1,4,,,"Voreinstellung_Übersicht"),TRUE))</f>
        <v>1.6666666666666665</v>
      </c>
      <c r="BF25" s="1">
        <f t="shared" si="42"/>
        <v>0</v>
      </c>
    </row>
    <row r="26" spans="1:58" s="1" customFormat="1" ht="15" x14ac:dyDescent="0.3">
      <c r="A26" s="218">
        <f t="shared" si="0"/>
        <v>8</v>
      </c>
      <c r="B26" s="47">
        <f t="shared" si="38"/>
        <v>42053</v>
      </c>
      <c r="C26" s="219">
        <f t="shared" si="1"/>
        <v>1</v>
      </c>
      <c r="D26" s="220" t="str">
        <f t="shared" si="2"/>
        <v/>
      </c>
      <c r="E26" s="298" t="str">
        <f t="shared" si="3"/>
        <v/>
      </c>
      <c r="F26" s="87">
        <f t="shared" si="4"/>
        <v>42053</v>
      </c>
      <c r="G26" s="147"/>
      <c r="H26" s="74"/>
      <c r="I26" s="75"/>
      <c r="J26" s="221">
        <f t="shared" si="5"/>
        <v>0</v>
      </c>
      <c r="K26" s="76"/>
      <c r="L26" s="221">
        <f t="shared" si="43"/>
        <v>0</v>
      </c>
      <c r="M26" s="74"/>
      <c r="N26" s="75"/>
      <c r="O26" s="221">
        <f t="shared" si="6"/>
        <v>0</v>
      </c>
      <c r="P26" s="76"/>
      <c r="Q26" s="221">
        <f t="shared" si="44"/>
        <v>0</v>
      </c>
      <c r="R26" s="221">
        <f t="shared" si="45"/>
        <v>0</v>
      </c>
      <c r="S26" s="221">
        <f t="shared" si="7"/>
        <v>0</v>
      </c>
      <c r="T26" s="79">
        <f t="shared" si="8"/>
        <v>0</v>
      </c>
      <c r="U26" s="79">
        <f t="shared" si="39"/>
        <v>0</v>
      </c>
      <c r="V26" s="80">
        <f t="shared" ca="1" si="9"/>
        <v>0.33333333329999998</v>
      </c>
      <c r="W26" s="249" t="str">
        <f t="shared" ca="1" si="10"/>
        <v/>
      </c>
      <c r="X26" s="293"/>
      <c r="Y26" s="221">
        <f t="shared" si="11"/>
        <v>0</v>
      </c>
      <c r="Z26" s="299">
        <f ca="1">IF(B26="","",INDIRECT(ADDRESS(MATCH(B26,Soll_AZ,1)+MATCH("Arbeitszeit 1 ab",Voreinstellung_Übersicht!B:B,0)-1,WEEKDAY(B26,2)+4,,,"Voreinstellung_Übersicht"),TRUE))</f>
        <v>0.33333333333333331</v>
      </c>
      <c r="AA26" s="300">
        <f t="shared" ca="1" si="40"/>
        <v>0</v>
      </c>
      <c r="AB26" s="219">
        <f t="shared" si="12"/>
        <v>0</v>
      </c>
      <c r="AC26" s="219">
        <f t="shared" si="13"/>
        <v>0</v>
      </c>
      <c r="AD26" s="219">
        <f t="shared" si="14"/>
        <v>0</v>
      </c>
      <c r="AE26" s="219">
        <f t="shared" si="15"/>
        <v>0</v>
      </c>
      <c r="AF26" s="219">
        <f t="shared" si="16"/>
        <v>0</v>
      </c>
      <c r="AG26" s="219">
        <f t="shared" si="17"/>
        <v>0</v>
      </c>
      <c r="AH26" s="219">
        <f t="shared" si="18"/>
        <v>0</v>
      </c>
      <c r="AI26" s="219">
        <f t="shared" si="19"/>
        <v>0</v>
      </c>
      <c r="AJ26" s="219">
        <f t="shared" si="20"/>
        <v>0</v>
      </c>
      <c r="AK26" s="219">
        <f t="shared" si="21"/>
        <v>0</v>
      </c>
      <c r="AL26" s="219">
        <f t="shared" si="22"/>
        <v>0</v>
      </c>
      <c r="AM26" s="219">
        <f t="shared" si="23"/>
        <v>0</v>
      </c>
      <c r="AN26" s="301">
        <f t="shared" si="24"/>
        <v>0</v>
      </c>
      <c r="AO26" s="301">
        <f t="shared" si="25"/>
        <v>0</v>
      </c>
      <c r="AP26" s="301">
        <f t="shared" si="26"/>
        <v>0</v>
      </c>
      <c r="AQ26" s="301">
        <f t="shared" si="27"/>
        <v>0</v>
      </c>
      <c r="AR26" s="301">
        <f t="shared" si="28"/>
        <v>0</v>
      </c>
      <c r="AS26" s="301">
        <f t="shared" si="29"/>
        <v>0</v>
      </c>
      <c r="AT26" s="302">
        <f t="shared" si="30"/>
        <v>0</v>
      </c>
      <c r="AU26" s="302">
        <f t="shared" si="31"/>
        <v>0</v>
      </c>
      <c r="AV26" s="81">
        <f t="shared" si="32"/>
        <v>0</v>
      </c>
      <c r="AW26" s="82">
        <f t="shared" si="33"/>
        <v>0</v>
      </c>
      <c r="AX26" s="81">
        <f t="shared" si="34"/>
        <v>0</v>
      </c>
      <c r="AY26" s="83">
        <f t="shared" si="35"/>
        <v>0</v>
      </c>
      <c r="AZ26" s="83">
        <f t="shared" si="36"/>
        <v>0</v>
      </c>
      <c r="BA26" s="82">
        <f>IF(OR(B26=Feiertage!$A$16,B26=Feiertage!$A$19),U26*Zuschläge_24_31/100,IF(AZ26&gt;0,AZ26*Feiertag_mit/100,IF(AX26&gt;0,AX26*Zuschläge_Sa/100,IF(AY26&gt;0,AY26*Zuschlag_So/100,0))))</f>
        <v>0</v>
      </c>
      <c r="BB26" s="82">
        <f>IF(AND(B26&lt;&gt;0,G26=Voreinstellung_Übersicht!$D$41),IF(EG=1,W26*Über_klein/100,IF(EG=2,W26*Über_groß/100,"Fehler")),0)</f>
        <v>0</v>
      </c>
      <c r="BC26" s="299">
        <f t="shared" ca="1" si="41"/>
        <v>0</v>
      </c>
      <c r="BD26" s="219">
        <f t="shared" ca="1" si="37"/>
        <v>1</v>
      </c>
      <c r="BE26" s="303">
        <f ca="1">IF(B26="","",INDIRECT(ADDRESS(MATCH(B26,Soll_AZ,1)+MATCH("Arbeitszeit 1 ab",Voreinstellung_Übersicht!B:B,0)-1,4,,,"Voreinstellung_Übersicht"),TRUE))</f>
        <v>1.6666666666666665</v>
      </c>
      <c r="BF26" s="1">
        <f t="shared" si="42"/>
        <v>0</v>
      </c>
    </row>
    <row r="27" spans="1:58" s="1" customFormat="1" ht="15" x14ac:dyDescent="0.3">
      <c r="A27" s="218">
        <f t="shared" si="0"/>
        <v>8</v>
      </c>
      <c r="B27" s="47">
        <f t="shared" si="38"/>
        <v>42054</v>
      </c>
      <c r="C27" s="219">
        <f t="shared" si="1"/>
        <v>1</v>
      </c>
      <c r="D27" s="220" t="str">
        <f t="shared" si="2"/>
        <v/>
      </c>
      <c r="E27" s="298" t="str">
        <f t="shared" si="3"/>
        <v/>
      </c>
      <c r="F27" s="87">
        <f t="shared" si="4"/>
        <v>42054</v>
      </c>
      <c r="G27" s="147"/>
      <c r="H27" s="74"/>
      <c r="I27" s="75"/>
      <c r="J27" s="221">
        <f t="shared" si="5"/>
        <v>0</v>
      </c>
      <c r="K27" s="76"/>
      <c r="L27" s="221">
        <f t="shared" si="43"/>
        <v>0</v>
      </c>
      <c r="M27" s="74"/>
      <c r="N27" s="75"/>
      <c r="O27" s="221">
        <f t="shared" si="6"/>
        <v>0</v>
      </c>
      <c r="P27" s="76"/>
      <c r="Q27" s="221">
        <f t="shared" si="44"/>
        <v>0</v>
      </c>
      <c r="R27" s="221">
        <f t="shared" si="45"/>
        <v>0</v>
      </c>
      <c r="S27" s="221">
        <f t="shared" si="7"/>
        <v>0</v>
      </c>
      <c r="T27" s="79">
        <f t="shared" si="8"/>
        <v>0</v>
      </c>
      <c r="U27" s="79">
        <f t="shared" si="39"/>
        <v>0</v>
      </c>
      <c r="V27" s="80">
        <f t="shared" ca="1" si="9"/>
        <v>0.33333333329999998</v>
      </c>
      <c r="W27" s="249" t="str">
        <f t="shared" ca="1" si="10"/>
        <v/>
      </c>
      <c r="X27" s="293"/>
      <c r="Y27" s="221">
        <f t="shared" si="11"/>
        <v>0</v>
      </c>
      <c r="Z27" s="299">
        <f ca="1">IF(B27="","",INDIRECT(ADDRESS(MATCH(B27,Soll_AZ,1)+MATCH("Arbeitszeit 1 ab",Voreinstellung_Übersicht!B:B,0)-1,WEEKDAY(B27,2)+4,,,"Voreinstellung_Übersicht"),TRUE))</f>
        <v>0.33333333333333331</v>
      </c>
      <c r="AA27" s="300">
        <f t="shared" ca="1" si="40"/>
        <v>0</v>
      </c>
      <c r="AB27" s="219">
        <f t="shared" si="12"/>
        <v>0</v>
      </c>
      <c r="AC27" s="219">
        <f t="shared" si="13"/>
        <v>0</v>
      </c>
      <c r="AD27" s="219">
        <f t="shared" si="14"/>
        <v>0</v>
      </c>
      <c r="AE27" s="219">
        <f t="shared" si="15"/>
        <v>0</v>
      </c>
      <c r="AF27" s="219">
        <f t="shared" si="16"/>
        <v>0</v>
      </c>
      <c r="AG27" s="219">
        <f t="shared" si="17"/>
        <v>0</v>
      </c>
      <c r="AH27" s="219">
        <f t="shared" si="18"/>
        <v>0</v>
      </c>
      <c r="AI27" s="219">
        <f t="shared" si="19"/>
        <v>0</v>
      </c>
      <c r="AJ27" s="219">
        <f t="shared" si="20"/>
        <v>0</v>
      </c>
      <c r="AK27" s="219">
        <f t="shared" si="21"/>
        <v>0</v>
      </c>
      <c r="AL27" s="219">
        <f t="shared" si="22"/>
        <v>0</v>
      </c>
      <c r="AM27" s="219">
        <f t="shared" si="23"/>
        <v>0</v>
      </c>
      <c r="AN27" s="301">
        <f t="shared" si="24"/>
        <v>0</v>
      </c>
      <c r="AO27" s="301">
        <f t="shared" si="25"/>
        <v>0</v>
      </c>
      <c r="AP27" s="301">
        <f t="shared" si="26"/>
        <v>0</v>
      </c>
      <c r="AQ27" s="301">
        <f t="shared" si="27"/>
        <v>0</v>
      </c>
      <c r="AR27" s="301">
        <f t="shared" si="28"/>
        <v>0</v>
      </c>
      <c r="AS27" s="301">
        <f t="shared" si="29"/>
        <v>0</v>
      </c>
      <c r="AT27" s="302">
        <f t="shared" si="30"/>
        <v>0</v>
      </c>
      <c r="AU27" s="302">
        <f t="shared" si="31"/>
        <v>0</v>
      </c>
      <c r="AV27" s="81">
        <f t="shared" si="32"/>
        <v>0</v>
      </c>
      <c r="AW27" s="82">
        <f t="shared" si="33"/>
        <v>0</v>
      </c>
      <c r="AX27" s="81">
        <f t="shared" si="34"/>
        <v>0</v>
      </c>
      <c r="AY27" s="83">
        <f t="shared" si="35"/>
        <v>0</v>
      </c>
      <c r="AZ27" s="83">
        <f t="shared" si="36"/>
        <v>0</v>
      </c>
      <c r="BA27" s="82">
        <f>IF(OR(B27=Feiertage!$A$16,B27=Feiertage!$A$19),U27*Zuschläge_24_31/100,IF(AZ27&gt;0,AZ27*Feiertag_mit/100,IF(AX27&gt;0,AX27*Zuschläge_Sa/100,IF(AY27&gt;0,AY27*Zuschlag_So/100,0))))</f>
        <v>0</v>
      </c>
      <c r="BB27" s="82">
        <f>IF(AND(B27&lt;&gt;0,G27=Voreinstellung_Übersicht!$D$41),IF(EG=1,W27*Über_klein/100,IF(EG=2,W27*Über_groß/100,"Fehler")),0)</f>
        <v>0</v>
      </c>
      <c r="BC27" s="299">
        <f t="shared" ca="1" si="41"/>
        <v>0</v>
      </c>
      <c r="BD27" s="219">
        <f t="shared" ca="1" si="37"/>
        <v>1</v>
      </c>
      <c r="BE27" s="303">
        <f ca="1">IF(B27="","",INDIRECT(ADDRESS(MATCH(B27,Soll_AZ,1)+MATCH("Arbeitszeit 1 ab",Voreinstellung_Übersicht!B:B,0)-1,4,,,"Voreinstellung_Übersicht"),TRUE))</f>
        <v>1.6666666666666665</v>
      </c>
      <c r="BF27" s="1">
        <f t="shared" si="42"/>
        <v>0</v>
      </c>
    </row>
    <row r="28" spans="1:58" s="1" customFormat="1" ht="15" x14ac:dyDescent="0.3">
      <c r="A28" s="218">
        <f t="shared" si="0"/>
        <v>8</v>
      </c>
      <c r="B28" s="47">
        <f t="shared" si="38"/>
        <v>42055</v>
      </c>
      <c r="C28" s="219">
        <f t="shared" si="1"/>
        <v>1</v>
      </c>
      <c r="D28" s="220" t="str">
        <f t="shared" si="2"/>
        <v/>
      </c>
      <c r="E28" s="298" t="str">
        <f t="shared" si="3"/>
        <v/>
      </c>
      <c r="F28" s="87">
        <f t="shared" si="4"/>
        <v>42055</v>
      </c>
      <c r="G28" s="147"/>
      <c r="H28" s="74"/>
      <c r="I28" s="75"/>
      <c r="J28" s="221">
        <f t="shared" si="5"/>
        <v>0</v>
      </c>
      <c r="K28" s="76"/>
      <c r="L28" s="221">
        <f t="shared" si="43"/>
        <v>0</v>
      </c>
      <c r="M28" s="74"/>
      <c r="N28" s="75"/>
      <c r="O28" s="221">
        <f t="shared" si="6"/>
        <v>0</v>
      </c>
      <c r="P28" s="76"/>
      <c r="Q28" s="221">
        <f t="shared" si="44"/>
        <v>0</v>
      </c>
      <c r="R28" s="221">
        <f t="shared" si="45"/>
        <v>0</v>
      </c>
      <c r="S28" s="221">
        <f t="shared" si="7"/>
        <v>0</v>
      </c>
      <c r="T28" s="79">
        <f t="shared" si="8"/>
        <v>0</v>
      </c>
      <c r="U28" s="79">
        <f t="shared" si="39"/>
        <v>0</v>
      </c>
      <c r="V28" s="80">
        <f t="shared" ca="1" si="9"/>
        <v>0.33333333329999998</v>
      </c>
      <c r="W28" s="249" t="str">
        <f t="shared" ca="1" si="10"/>
        <v/>
      </c>
      <c r="X28" s="293"/>
      <c r="Y28" s="221">
        <f t="shared" si="11"/>
        <v>0</v>
      </c>
      <c r="Z28" s="299">
        <f ca="1">IF(B28="","",INDIRECT(ADDRESS(MATCH(B28,Soll_AZ,1)+MATCH("Arbeitszeit 1 ab",Voreinstellung_Übersicht!B:B,0)-1,WEEKDAY(B28,2)+4,,,"Voreinstellung_Übersicht"),TRUE))</f>
        <v>0.33333333333333331</v>
      </c>
      <c r="AA28" s="300">
        <f t="shared" ca="1" si="40"/>
        <v>0</v>
      </c>
      <c r="AB28" s="219">
        <f t="shared" si="12"/>
        <v>0</v>
      </c>
      <c r="AC28" s="219">
        <f t="shared" si="13"/>
        <v>0</v>
      </c>
      <c r="AD28" s="219">
        <f t="shared" si="14"/>
        <v>0</v>
      </c>
      <c r="AE28" s="219">
        <f t="shared" si="15"/>
        <v>0</v>
      </c>
      <c r="AF28" s="219">
        <f t="shared" si="16"/>
        <v>0</v>
      </c>
      <c r="AG28" s="219">
        <f t="shared" si="17"/>
        <v>0</v>
      </c>
      <c r="AH28" s="219">
        <f t="shared" si="18"/>
        <v>0</v>
      </c>
      <c r="AI28" s="219">
        <f t="shared" si="19"/>
        <v>0</v>
      </c>
      <c r="AJ28" s="219">
        <f t="shared" si="20"/>
        <v>0</v>
      </c>
      <c r="AK28" s="219">
        <f t="shared" si="21"/>
        <v>0</v>
      </c>
      <c r="AL28" s="219">
        <f t="shared" si="22"/>
        <v>0</v>
      </c>
      <c r="AM28" s="219">
        <f t="shared" si="23"/>
        <v>0</v>
      </c>
      <c r="AN28" s="301">
        <f t="shared" si="24"/>
        <v>0</v>
      </c>
      <c r="AO28" s="301">
        <f t="shared" si="25"/>
        <v>0</v>
      </c>
      <c r="AP28" s="301">
        <f t="shared" si="26"/>
        <v>0</v>
      </c>
      <c r="AQ28" s="301">
        <f t="shared" si="27"/>
        <v>0</v>
      </c>
      <c r="AR28" s="301">
        <f t="shared" si="28"/>
        <v>0</v>
      </c>
      <c r="AS28" s="301">
        <f t="shared" si="29"/>
        <v>0</v>
      </c>
      <c r="AT28" s="302">
        <f t="shared" si="30"/>
        <v>0</v>
      </c>
      <c r="AU28" s="302">
        <f t="shared" si="31"/>
        <v>0</v>
      </c>
      <c r="AV28" s="81">
        <f t="shared" si="32"/>
        <v>0</v>
      </c>
      <c r="AW28" s="82">
        <f t="shared" si="33"/>
        <v>0</v>
      </c>
      <c r="AX28" s="81">
        <f t="shared" si="34"/>
        <v>0</v>
      </c>
      <c r="AY28" s="83">
        <f t="shared" si="35"/>
        <v>0</v>
      </c>
      <c r="AZ28" s="83">
        <f t="shared" si="36"/>
        <v>0</v>
      </c>
      <c r="BA28" s="82">
        <f>IF(OR(B28=Feiertage!$A$16,B28=Feiertage!$A$19),U28*Zuschläge_24_31/100,IF(AZ28&gt;0,AZ28*Feiertag_mit/100,IF(AX28&gt;0,AX28*Zuschläge_Sa/100,IF(AY28&gt;0,AY28*Zuschlag_So/100,0))))</f>
        <v>0</v>
      </c>
      <c r="BB28" s="82">
        <f>IF(AND(B28&lt;&gt;0,G28=Voreinstellung_Übersicht!$D$41),IF(EG=1,W28*Über_klein/100,IF(EG=2,W28*Über_groß/100,"Fehler")),0)</f>
        <v>0</v>
      </c>
      <c r="BC28" s="299">
        <f t="shared" ca="1" si="41"/>
        <v>0</v>
      </c>
      <c r="BD28" s="219">
        <f t="shared" ca="1" si="37"/>
        <v>1</v>
      </c>
      <c r="BE28" s="303">
        <f ca="1">IF(B28="","",INDIRECT(ADDRESS(MATCH(B28,Soll_AZ,1)+MATCH("Arbeitszeit 1 ab",Voreinstellung_Übersicht!B:B,0)-1,4,,,"Voreinstellung_Übersicht"),TRUE))</f>
        <v>1.6666666666666665</v>
      </c>
      <c r="BF28" s="1">
        <f t="shared" si="42"/>
        <v>0</v>
      </c>
    </row>
    <row r="29" spans="1:58" s="1" customFormat="1" ht="15" x14ac:dyDescent="0.3">
      <c r="A29" s="218">
        <f t="shared" si="0"/>
        <v>8</v>
      </c>
      <c r="B29" s="47">
        <f t="shared" si="38"/>
        <v>42056</v>
      </c>
      <c r="C29" s="219">
        <f t="shared" si="1"/>
        <v>1</v>
      </c>
      <c r="D29" s="220" t="str">
        <f t="shared" si="2"/>
        <v/>
      </c>
      <c r="E29" s="298" t="str">
        <f t="shared" si="3"/>
        <v/>
      </c>
      <c r="F29" s="87">
        <f t="shared" si="4"/>
        <v>42056</v>
      </c>
      <c r="G29" s="147"/>
      <c r="H29" s="74"/>
      <c r="I29" s="75"/>
      <c r="J29" s="221">
        <f t="shared" si="5"/>
        <v>0</v>
      </c>
      <c r="K29" s="76"/>
      <c r="L29" s="221">
        <f t="shared" si="43"/>
        <v>0</v>
      </c>
      <c r="M29" s="74"/>
      <c r="N29" s="75"/>
      <c r="O29" s="221">
        <f t="shared" si="6"/>
        <v>0</v>
      </c>
      <c r="P29" s="76"/>
      <c r="Q29" s="221">
        <f t="shared" si="44"/>
        <v>0</v>
      </c>
      <c r="R29" s="221">
        <f t="shared" si="45"/>
        <v>0</v>
      </c>
      <c r="S29" s="221">
        <f t="shared" si="7"/>
        <v>0</v>
      </c>
      <c r="T29" s="79">
        <f t="shared" si="8"/>
        <v>0</v>
      </c>
      <c r="U29" s="79">
        <f t="shared" si="39"/>
        <v>0</v>
      </c>
      <c r="V29" s="80">
        <f t="shared" ca="1" si="9"/>
        <v>0.33333333329999998</v>
      </c>
      <c r="W29" s="249" t="str">
        <f t="shared" ca="1" si="10"/>
        <v/>
      </c>
      <c r="X29" s="293"/>
      <c r="Y29" s="221">
        <f t="shared" si="11"/>
        <v>0</v>
      </c>
      <c r="Z29" s="299">
        <f ca="1">IF(B29="","",INDIRECT(ADDRESS(MATCH(B29,Soll_AZ,1)+MATCH("Arbeitszeit 1 ab",Voreinstellung_Übersicht!B:B,0)-1,WEEKDAY(B29,2)+4,,,"Voreinstellung_Übersicht"),TRUE))</f>
        <v>0.33333333333333331</v>
      </c>
      <c r="AA29" s="300">
        <f t="shared" ca="1" si="40"/>
        <v>0</v>
      </c>
      <c r="AB29" s="219">
        <f t="shared" si="12"/>
        <v>0</v>
      </c>
      <c r="AC29" s="219">
        <f t="shared" si="13"/>
        <v>0</v>
      </c>
      <c r="AD29" s="219">
        <f t="shared" si="14"/>
        <v>0</v>
      </c>
      <c r="AE29" s="219">
        <f t="shared" si="15"/>
        <v>0</v>
      </c>
      <c r="AF29" s="219">
        <f t="shared" si="16"/>
        <v>0</v>
      </c>
      <c r="AG29" s="219">
        <f t="shared" si="17"/>
        <v>0</v>
      </c>
      <c r="AH29" s="219">
        <f t="shared" si="18"/>
        <v>0</v>
      </c>
      <c r="AI29" s="219">
        <f t="shared" si="19"/>
        <v>0</v>
      </c>
      <c r="AJ29" s="219">
        <f t="shared" si="20"/>
        <v>0</v>
      </c>
      <c r="AK29" s="219">
        <f t="shared" si="21"/>
        <v>0</v>
      </c>
      <c r="AL29" s="219">
        <f t="shared" si="22"/>
        <v>0</v>
      </c>
      <c r="AM29" s="219">
        <f t="shared" si="23"/>
        <v>0</v>
      </c>
      <c r="AN29" s="301">
        <f t="shared" si="24"/>
        <v>0</v>
      </c>
      <c r="AO29" s="301">
        <f t="shared" si="25"/>
        <v>0</v>
      </c>
      <c r="AP29" s="301">
        <f t="shared" si="26"/>
        <v>0</v>
      </c>
      <c r="AQ29" s="301">
        <f t="shared" si="27"/>
        <v>0</v>
      </c>
      <c r="AR29" s="301">
        <f t="shared" si="28"/>
        <v>0</v>
      </c>
      <c r="AS29" s="301">
        <f t="shared" si="29"/>
        <v>0</v>
      </c>
      <c r="AT29" s="302">
        <f t="shared" si="30"/>
        <v>0</v>
      </c>
      <c r="AU29" s="302">
        <f t="shared" si="31"/>
        <v>0</v>
      </c>
      <c r="AV29" s="81">
        <f t="shared" si="32"/>
        <v>0</v>
      </c>
      <c r="AW29" s="82">
        <f t="shared" si="33"/>
        <v>0</v>
      </c>
      <c r="AX29" s="81">
        <f t="shared" si="34"/>
        <v>0</v>
      </c>
      <c r="AY29" s="83">
        <f t="shared" si="35"/>
        <v>0</v>
      </c>
      <c r="AZ29" s="83">
        <f t="shared" si="36"/>
        <v>0</v>
      </c>
      <c r="BA29" s="82">
        <f>IF(OR(B29=Feiertage!$A$16,B29=Feiertage!$A$19),U29*Zuschläge_24_31/100,IF(AZ29&gt;0,AZ29*Feiertag_mit/100,IF(AX29&gt;0,AX29*Zuschläge_Sa/100,IF(AY29&gt;0,AY29*Zuschlag_So/100,0))))</f>
        <v>0</v>
      </c>
      <c r="BB29" s="82">
        <f>IF(AND(B29&lt;&gt;0,G29=Voreinstellung_Übersicht!$D$41),IF(EG=1,W29*Über_klein/100,IF(EG=2,W29*Über_groß/100,"Fehler")),0)</f>
        <v>0</v>
      </c>
      <c r="BC29" s="299">
        <f t="shared" ca="1" si="41"/>
        <v>0</v>
      </c>
      <c r="BD29" s="219">
        <f t="shared" ca="1" si="37"/>
        <v>1</v>
      </c>
      <c r="BE29" s="303">
        <f ca="1">IF(B29="","",INDIRECT(ADDRESS(MATCH(B29,Soll_AZ,1)+MATCH("Arbeitszeit 1 ab",Voreinstellung_Übersicht!B:B,0)-1,4,,,"Voreinstellung_Übersicht"),TRUE))</f>
        <v>1.6666666666666665</v>
      </c>
      <c r="BF29" s="1">
        <f t="shared" si="42"/>
        <v>0</v>
      </c>
    </row>
    <row r="30" spans="1:58" s="1" customFormat="1" ht="15" x14ac:dyDescent="0.3">
      <c r="A30" s="218">
        <f t="shared" si="0"/>
        <v>8</v>
      </c>
      <c r="B30" s="47">
        <f t="shared" si="38"/>
        <v>42057</v>
      </c>
      <c r="C30" s="219">
        <f t="shared" si="1"/>
        <v>0</v>
      </c>
      <c r="D30" s="220" t="str">
        <f t="shared" si="2"/>
        <v/>
      </c>
      <c r="E30" s="298" t="str">
        <f t="shared" si="3"/>
        <v/>
      </c>
      <c r="F30" s="87">
        <f t="shared" si="4"/>
        <v>42057</v>
      </c>
      <c r="G30" s="147"/>
      <c r="H30" s="74"/>
      <c r="I30" s="75"/>
      <c r="J30" s="221">
        <f t="shared" si="5"/>
        <v>0</v>
      </c>
      <c r="K30" s="76"/>
      <c r="L30" s="221">
        <f t="shared" si="43"/>
        <v>0</v>
      </c>
      <c r="M30" s="74"/>
      <c r="N30" s="75"/>
      <c r="O30" s="221">
        <f t="shared" si="6"/>
        <v>0</v>
      </c>
      <c r="P30" s="76"/>
      <c r="Q30" s="221">
        <f t="shared" si="44"/>
        <v>0</v>
      </c>
      <c r="R30" s="221">
        <f t="shared" si="45"/>
        <v>0</v>
      </c>
      <c r="S30" s="221">
        <f t="shared" si="7"/>
        <v>0</v>
      </c>
      <c r="T30" s="79">
        <f t="shared" si="8"/>
        <v>0</v>
      </c>
      <c r="U30" s="79">
        <f t="shared" si="39"/>
        <v>0</v>
      </c>
      <c r="V30" s="80">
        <f t="shared" ca="1" si="9"/>
        <v>0</v>
      </c>
      <c r="W30" s="249" t="str">
        <f t="shared" ca="1" si="10"/>
        <v/>
      </c>
      <c r="X30" s="293"/>
      <c r="Y30" s="221">
        <f t="shared" si="11"/>
        <v>0</v>
      </c>
      <c r="Z30" s="299">
        <f ca="1">IF(B30="","",INDIRECT(ADDRESS(MATCH(B30,Soll_AZ,1)+MATCH("Arbeitszeit 1 ab",Voreinstellung_Übersicht!B:B,0)-1,WEEKDAY(B30,2)+4,,,"Voreinstellung_Übersicht"),TRUE))</f>
        <v>0</v>
      </c>
      <c r="AA30" s="300">
        <f t="shared" ca="1" si="40"/>
        <v>0</v>
      </c>
      <c r="AB30" s="219">
        <f t="shared" si="12"/>
        <v>0</v>
      </c>
      <c r="AC30" s="219">
        <f t="shared" si="13"/>
        <v>0</v>
      </c>
      <c r="AD30" s="219">
        <f t="shared" si="14"/>
        <v>0</v>
      </c>
      <c r="AE30" s="219">
        <f t="shared" si="15"/>
        <v>0</v>
      </c>
      <c r="AF30" s="219">
        <f t="shared" si="16"/>
        <v>0</v>
      </c>
      <c r="AG30" s="219">
        <f t="shared" si="17"/>
        <v>0</v>
      </c>
      <c r="AH30" s="219">
        <f t="shared" si="18"/>
        <v>0</v>
      </c>
      <c r="AI30" s="219">
        <f t="shared" si="19"/>
        <v>0</v>
      </c>
      <c r="AJ30" s="219">
        <f t="shared" si="20"/>
        <v>0</v>
      </c>
      <c r="AK30" s="219">
        <f t="shared" si="21"/>
        <v>0</v>
      </c>
      <c r="AL30" s="219">
        <f t="shared" si="22"/>
        <v>0</v>
      </c>
      <c r="AM30" s="219">
        <f t="shared" si="23"/>
        <v>0</v>
      </c>
      <c r="AN30" s="301">
        <f t="shared" si="24"/>
        <v>0</v>
      </c>
      <c r="AO30" s="301">
        <f t="shared" si="25"/>
        <v>0</v>
      </c>
      <c r="AP30" s="301">
        <f t="shared" si="26"/>
        <v>0</v>
      </c>
      <c r="AQ30" s="301">
        <f t="shared" si="27"/>
        <v>0</v>
      </c>
      <c r="AR30" s="301">
        <f t="shared" si="28"/>
        <v>0</v>
      </c>
      <c r="AS30" s="301">
        <f t="shared" si="29"/>
        <v>0</v>
      </c>
      <c r="AT30" s="302">
        <f t="shared" si="30"/>
        <v>0</v>
      </c>
      <c r="AU30" s="302">
        <f t="shared" si="31"/>
        <v>0</v>
      </c>
      <c r="AV30" s="81">
        <f t="shared" si="32"/>
        <v>0</v>
      </c>
      <c r="AW30" s="82">
        <f t="shared" si="33"/>
        <v>0</v>
      </c>
      <c r="AX30" s="81">
        <f t="shared" si="34"/>
        <v>0</v>
      </c>
      <c r="AY30" s="83">
        <f t="shared" si="35"/>
        <v>0</v>
      </c>
      <c r="AZ30" s="83">
        <f t="shared" si="36"/>
        <v>0</v>
      </c>
      <c r="BA30" s="82">
        <f>IF(OR(B30=Feiertage!$A$16,B30=Feiertage!$A$19),U30*Zuschläge_24_31/100,IF(AZ30&gt;0,AZ30*Feiertag_mit/100,IF(AX30&gt;0,AX30*Zuschläge_Sa/100,IF(AY30&gt;0,AY30*Zuschlag_So/100,0))))</f>
        <v>0</v>
      </c>
      <c r="BB30" s="82">
        <f>IF(AND(B30&lt;&gt;0,G30=Voreinstellung_Übersicht!$D$41),IF(EG=1,W30*Über_klein/100,IF(EG=2,W30*Über_groß/100,"Fehler")),0)</f>
        <v>0</v>
      </c>
      <c r="BC30" s="299">
        <f t="shared" ca="1" si="41"/>
        <v>0</v>
      </c>
      <c r="BD30" s="219">
        <f t="shared" ca="1" si="37"/>
        <v>1</v>
      </c>
      <c r="BE30" s="303">
        <f ca="1">IF(B30="","",INDIRECT(ADDRESS(MATCH(B30,Soll_AZ,1)+MATCH("Arbeitszeit 1 ab",Voreinstellung_Übersicht!B:B,0)-1,4,,,"Voreinstellung_Übersicht"),TRUE))</f>
        <v>1.6666666666666665</v>
      </c>
      <c r="BF30" s="1">
        <f t="shared" si="42"/>
        <v>0</v>
      </c>
    </row>
    <row r="31" spans="1:58" s="1" customFormat="1" ht="15" x14ac:dyDescent="0.3">
      <c r="A31" s="218">
        <f t="shared" si="0"/>
        <v>9</v>
      </c>
      <c r="B31" s="47">
        <f t="shared" si="38"/>
        <v>42058</v>
      </c>
      <c r="C31" s="219">
        <f t="shared" si="1"/>
        <v>0</v>
      </c>
      <c r="D31" s="220" t="str">
        <f t="shared" si="2"/>
        <v/>
      </c>
      <c r="E31" s="298" t="str">
        <f t="shared" si="3"/>
        <v/>
      </c>
      <c r="F31" s="87">
        <f t="shared" si="4"/>
        <v>42058</v>
      </c>
      <c r="G31" s="147"/>
      <c r="H31" s="74"/>
      <c r="I31" s="75"/>
      <c r="J31" s="221">
        <f t="shared" si="5"/>
        <v>0</v>
      </c>
      <c r="K31" s="76"/>
      <c r="L31" s="221">
        <f t="shared" si="43"/>
        <v>0</v>
      </c>
      <c r="M31" s="74"/>
      <c r="N31" s="75"/>
      <c r="O31" s="221">
        <f t="shared" si="6"/>
        <v>0</v>
      </c>
      <c r="P31" s="76"/>
      <c r="Q31" s="221">
        <f t="shared" si="44"/>
        <v>0</v>
      </c>
      <c r="R31" s="221">
        <f t="shared" si="45"/>
        <v>0</v>
      </c>
      <c r="S31" s="221">
        <f t="shared" si="7"/>
        <v>0</v>
      </c>
      <c r="T31" s="79">
        <f t="shared" si="8"/>
        <v>0</v>
      </c>
      <c r="U31" s="79">
        <f t="shared" si="39"/>
        <v>0</v>
      </c>
      <c r="V31" s="80">
        <f t="shared" ca="1" si="9"/>
        <v>0</v>
      </c>
      <c r="W31" s="249" t="str">
        <f t="shared" ca="1" si="10"/>
        <v/>
      </c>
      <c r="X31" s="293"/>
      <c r="Y31" s="221">
        <f t="shared" si="11"/>
        <v>0</v>
      </c>
      <c r="Z31" s="299">
        <f ca="1">IF(B31="","",INDIRECT(ADDRESS(MATCH(B31,Soll_AZ,1)+MATCH("Arbeitszeit 1 ab",Voreinstellung_Übersicht!B:B,0)-1,WEEKDAY(B31,2)+4,,,"Voreinstellung_Übersicht"),TRUE))</f>
        <v>0</v>
      </c>
      <c r="AA31" s="300">
        <f t="shared" ca="1" si="40"/>
        <v>0</v>
      </c>
      <c r="AB31" s="219">
        <f t="shared" si="12"/>
        <v>0</v>
      </c>
      <c r="AC31" s="219">
        <f t="shared" si="13"/>
        <v>0</v>
      </c>
      <c r="AD31" s="219">
        <f t="shared" si="14"/>
        <v>0</v>
      </c>
      <c r="AE31" s="219">
        <f t="shared" si="15"/>
        <v>0</v>
      </c>
      <c r="AF31" s="219">
        <f t="shared" si="16"/>
        <v>0</v>
      </c>
      <c r="AG31" s="219">
        <f t="shared" si="17"/>
        <v>0</v>
      </c>
      <c r="AH31" s="219">
        <f t="shared" si="18"/>
        <v>0</v>
      </c>
      <c r="AI31" s="219">
        <f t="shared" si="19"/>
        <v>0</v>
      </c>
      <c r="AJ31" s="219">
        <f t="shared" si="20"/>
        <v>0</v>
      </c>
      <c r="AK31" s="219">
        <f t="shared" si="21"/>
        <v>0</v>
      </c>
      <c r="AL31" s="219">
        <f t="shared" si="22"/>
        <v>0</v>
      </c>
      <c r="AM31" s="219">
        <f t="shared" si="23"/>
        <v>0</v>
      </c>
      <c r="AN31" s="301">
        <f t="shared" si="24"/>
        <v>0</v>
      </c>
      <c r="AO31" s="301">
        <f t="shared" si="25"/>
        <v>0</v>
      </c>
      <c r="AP31" s="301">
        <f t="shared" si="26"/>
        <v>0</v>
      </c>
      <c r="AQ31" s="301">
        <f t="shared" si="27"/>
        <v>0</v>
      </c>
      <c r="AR31" s="301">
        <f t="shared" si="28"/>
        <v>0</v>
      </c>
      <c r="AS31" s="301">
        <f t="shared" si="29"/>
        <v>0</v>
      </c>
      <c r="AT31" s="302">
        <f t="shared" si="30"/>
        <v>0</v>
      </c>
      <c r="AU31" s="302">
        <f t="shared" si="31"/>
        <v>0</v>
      </c>
      <c r="AV31" s="81">
        <f t="shared" si="32"/>
        <v>0</v>
      </c>
      <c r="AW31" s="82">
        <f t="shared" si="33"/>
        <v>0</v>
      </c>
      <c r="AX31" s="81">
        <f t="shared" si="34"/>
        <v>0</v>
      </c>
      <c r="AY31" s="83">
        <f t="shared" si="35"/>
        <v>0</v>
      </c>
      <c r="AZ31" s="83">
        <f t="shared" si="36"/>
        <v>0</v>
      </c>
      <c r="BA31" s="82">
        <f>IF(OR(B31=Feiertage!$A$16,B31=Feiertage!$A$19),U31*Zuschläge_24_31/100,IF(AZ31&gt;0,AZ31*Feiertag_mit/100,IF(AX31&gt;0,AX31*Zuschläge_Sa/100,IF(AY31&gt;0,AY31*Zuschlag_So/100,0))))</f>
        <v>0</v>
      </c>
      <c r="BB31" s="82">
        <f>IF(AND(B31&lt;&gt;0,G31=Voreinstellung_Übersicht!$D$41),IF(EG=1,W31*Über_klein/100,IF(EG=2,W31*Über_groß/100,"Fehler")),0)</f>
        <v>0</v>
      </c>
      <c r="BC31" s="299">
        <f t="shared" ca="1" si="41"/>
        <v>0</v>
      </c>
      <c r="BD31" s="219">
        <f t="shared" ca="1" si="37"/>
        <v>1</v>
      </c>
      <c r="BE31" s="303">
        <f ca="1">IF(B31="","",INDIRECT(ADDRESS(MATCH(B31,Soll_AZ,1)+MATCH("Arbeitszeit 1 ab",Voreinstellung_Übersicht!B:B,0)-1,4,,,"Voreinstellung_Übersicht"),TRUE))</f>
        <v>1.6666666666666665</v>
      </c>
      <c r="BF31" s="1">
        <f t="shared" si="42"/>
        <v>0</v>
      </c>
    </row>
    <row r="32" spans="1:58" s="1" customFormat="1" ht="15" x14ac:dyDescent="0.3">
      <c r="A32" s="218">
        <f t="shared" si="0"/>
        <v>9</v>
      </c>
      <c r="B32" s="47">
        <f t="shared" si="38"/>
        <v>42059</v>
      </c>
      <c r="C32" s="219">
        <f t="shared" si="1"/>
        <v>1</v>
      </c>
      <c r="D32" s="220" t="str">
        <f t="shared" si="2"/>
        <v/>
      </c>
      <c r="E32" s="298" t="str">
        <f t="shared" si="3"/>
        <v/>
      </c>
      <c r="F32" s="87">
        <f t="shared" si="4"/>
        <v>42059</v>
      </c>
      <c r="G32" s="147"/>
      <c r="H32" s="74"/>
      <c r="I32" s="75"/>
      <c r="J32" s="221">
        <f t="shared" si="5"/>
        <v>0</v>
      </c>
      <c r="K32" s="76"/>
      <c r="L32" s="221">
        <f t="shared" si="43"/>
        <v>0</v>
      </c>
      <c r="M32" s="74"/>
      <c r="N32" s="75"/>
      <c r="O32" s="221">
        <f t="shared" si="6"/>
        <v>0</v>
      </c>
      <c r="P32" s="76"/>
      <c r="Q32" s="221">
        <f t="shared" si="44"/>
        <v>0</v>
      </c>
      <c r="R32" s="221">
        <f t="shared" si="45"/>
        <v>0</v>
      </c>
      <c r="S32" s="221">
        <f t="shared" si="7"/>
        <v>0</v>
      </c>
      <c r="T32" s="79">
        <f t="shared" si="8"/>
        <v>0</v>
      </c>
      <c r="U32" s="79">
        <f t="shared" si="39"/>
        <v>0</v>
      </c>
      <c r="V32" s="80">
        <f t="shared" ca="1" si="9"/>
        <v>0.33333333329999998</v>
      </c>
      <c r="W32" s="249" t="str">
        <f t="shared" ca="1" si="10"/>
        <v/>
      </c>
      <c r="X32" s="293"/>
      <c r="Y32" s="221">
        <f t="shared" si="11"/>
        <v>0</v>
      </c>
      <c r="Z32" s="299">
        <f ca="1">IF(B32="","",INDIRECT(ADDRESS(MATCH(B32,Soll_AZ,1)+MATCH("Arbeitszeit 1 ab",Voreinstellung_Übersicht!B:B,0)-1,WEEKDAY(B32,2)+4,,,"Voreinstellung_Übersicht"),TRUE))</f>
        <v>0.33333333333333331</v>
      </c>
      <c r="AA32" s="300">
        <f t="shared" ca="1" si="40"/>
        <v>0</v>
      </c>
      <c r="AB32" s="219">
        <f t="shared" si="12"/>
        <v>0</v>
      </c>
      <c r="AC32" s="219">
        <f t="shared" si="13"/>
        <v>0</v>
      </c>
      <c r="AD32" s="219">
        <f t="shared" si="14"/>
        <v>0</v>
      </c>
      <c r="AE32" s="219">
        <f t="shared" si="15"/>
        <v>0</v>
      </c>
      <c r="AF32" s="219">
        <f t="shared" si="16"/>
        <v>0</v>
      </c>
      <c r="AG32" s="219">
        <f t="shared" si="17"/>
        <v>0</v>
      </c>
      <c r="AH32" s="219">
        <f t="shared" si="18"/>
        <v>0</v>
      </c>
      <c r="AI32" s="219">
        <f t="shared" si="19"/>
        <v>0</v>
      </c>
      <c r="AJ32" s="219">
        <f t="shared" si="20"/>
        <v>0</v>
      </c>
      <c r="AK32" s="219">
        <f t="shared" si="21"/>
        <v>0</v>
      </c>
      <c r="AL32" s="219">
        <f t="shared" si="22"/>
        <v>0</v>
      </c>
      <c r="AM32" s="219">
        <f t="shared" si="23"/>
        <v>0</v>
      </c>
      <c r="AN32" s="301">
        <f t="shared" si="24"/>
        <v>0</v>
      </c>
      <c r="AO32" s="301">
        <f t="shared" si="25"/>
        <v>0</v>
      </c>
      <c r="AP32" s="301">
        <f t="shared" si="26"/>
        <v>0</v>
      </c>
      <c r="AQ32" s="301">
        <f t="shared" si="27"/>
        <v>0</v>
      </c>
      <c r="AR32" s="301">
        <f t="shared" si="28"/>
        <v>0</v>
      </c>
      <c r="AS32" s="301">
        <f t="shared" si="29"/>
        <v>0</v>
      </c>
      <c r="AT32" s="302">
        <f t="shared" si="30"/>
        <v>0</v>
      </c>
      <c r="AU32" s="302">
        <f t="shared" si="31"/>
        <v>0</v>
      </c>
      <c r="AV32" s="81">
        <f t="shared" si="32"/>
        <v>0</v>
      </c>
      <c r="AW32" s="82">
        <f t="shared" si="33"/>
        <v>0</v>
      </c>
      <c r="AX32" s="81">
        <f t="shared" si="34"/>
        <v>0</v>
      </c>
      <c r="AY32" s="83">
        <f t="shared" si="35"/>
        <v>0</v>
      </c>
      <c r="AZ32" s="83">
        <f t="shared" si="36"/>
        <v>0</v>
      </c>
      <c r="BA32" s="82">
        <f>IF(OR(B32=Feiertage!$A$16,B32=Feiertage!$A$19),U32*Zuschläge_24_31/100,IF(AZ32&gt;0,AZ32*Feiertag_mit/100,IF(AX32&gt;0,AX32*Zuschläge_Sa/100,IF(AY32&gt;0,AY32*Zuschlag_So/100,0))))</f>
        <v>0</v>
      </c>
      <c r="BB32" s="82">
        <f>IF(AND(B32&lt;&gt;0,G32=Voreinstellung_Übersicht!$D$41),IF(EG=1,W32*Über_klein/100,IF(EG=2,W32*Über_groß/100,"Fehler")),0)</f>
        <v>0</v>
      </c>
      <c r="BC32" s="299">
        <f t="shared" ca="1" si="41"/>
        <v>0</v>
      </c>
      <c r="BD32" s="219">
        <f t="shared" ca="1" si="37"/>
        <v>1</v>
      </c>
      <c r="BE32" s="303">
        <f ca="1">IF(B32="","",INDIRECT(ADDRESS(MATCH(B32,Soll_AZ,1)+MATCH("Arbeitszeit 1 ab",Voreinstellung_Übersicht!B:B,0)-1,4,,,"Voreinstellung_Übersicht"),TRUE))</f>
        <v>1.6666666666666665</v>
      </c>
      <c r="BF32" s="1">
        <f t="shared" si="42"/>
        <v>0</v>
      </c>
    </row>
    <row r="33" spans="1:104" s="1" customFormat="1" ht="15" x14ac:dyDescent="0.3">
      <c r="A33" s="218">
        <f t="shared" si="0"/>
        <v>9</v>
      </c>
      <c r="B33" s="47">
        <f t="shared" si="38"/>
        <v>42060</v>
      </c>
      <c r="C33" s="219">
        <f t="shared" si="1"/>
        <v>1</v>
      </c>
      <c r="D33" s="220" t="str">
        <f t="shared" si="2"/>
        <v/>
      </c>
      <c r="E33" s="298" t="str">
        <f t="shared" si="3"/>
        <v/>
      </c>
      <c r="F33" s="87">
        <f t="shared" si="4"/>
        <v>42060</v>
      </c>
      <c r="G33" s="147"/>
      <c r="H33" s="74"/>
      <c r="I33" s="75"/>
      <c r="J33" s="221">
        <f t="shared" si="5"/>
        <v>0</v>
      </c>
      <c r="K33" s="76"/>
      <c r="L33" s="221">
        <f t="shared" si="43"/>
        <v>0</v>
      </c>
      <c r="M33" s="74"/>
      <c r="N33" s="75"/>
      <c r="O33" s="221">
        <f t="shared" si="6"/>
        <v>0</v>
      </c>
      <c r="P33" s="76"/>
      <c r="Q33" s="221">
        <f t="shared" si="44"/>
        <v>0</v>
      </c>
      <c r="R33" s="221">
        <f t="shared" si="45"/>
        <v>0</v>
      </c>
      <c r="S33" s="221">
        <f t="shared" si="7"/>
        <v>0</v>
      </c>
      <c r="T33" s="79">
        <f t="shared" si="8"/>
        <v>0</v>
      </c>
      <c r="U33" s="79">
        <f t="shared" si="39"/>
        <v>0</v>
      </c>
      <c r="V33" s="80">
        <f t="shared" ca="1" si="9"/>
        <v>0.33333333329999998</v>
      </c>
      <c r="W33" s="249" t="str">
        <f t="shared" ca="1" si="10"/>
        <v/>
      </c>
      <c r="X33" s="293"/>
      <c r="Y33" s="221">
        <f t="shared" si="11"/>
        <v>0</v>
      </c>
      <c r="Z33" s="299">
        <f ca="1">IF(B33="","",INDIRECT(ADDRESS(MATCH(B33,Soll_AZ,1)+MATCH("Arbeitszeit 1 ab",Voreinstellung_Übersicht!B:B,0)-1,WEEKDAY(B33,2)+4,,,"Voreinstellung_Übersicht"),TRUE))</f>
        <v>0.33333333333333331</v>
      </c>
      <c r="AA33" s="300">
        <f t="shared" ca="1" si="40"/>
        <v>0</v>
      </c>
      <c r="AB33" s="219">
        <f t="shared" si="12"/>
        <v>0</v>
      </c>
      <c r="AC33" s="219">
        <f t="shared" si="13"/>
        <v>0</v>
      </c>
      <c r="AD33" s="219">
        <f t="shared" si="14"/>
        <v>0</v>
      </c>
      <c r="AE33" s="219">
        <f t="shared" si="15"/>
        <v>0</v>
      </c>
      <c r="AF33" s="219">
        <f t="shared" si="16"/>
        <v>0</v>
      </c>
      <c r="AG33" s="219">
        <f t="shared" si="17"/>
        <v>0</v>
      </c>
      <c r="AH33" s="219">
        <f t="shared" si="18"/>
        <v>0</v>
      </c>
      <c r="AI33" s="219">
        <f t="shared" si="19"/>
        <v>0</v>
      </c>
      <c r="AJ33" s="219">
        <f t="shared" si="20"/>
        <v>0</v>
      </c>
      <c r="AK33" s="219">
        <f t="shared" si="21"/>
        <v>0</v>
      </c>
      <c r="AL33" s="219">
        <f t="shared" si="22"/>
        <v>0</v>
      </c>
      <c r="AM33" s="219">
        <f t="shared" si="23"/>
        <v>0</v>
      </c>
      <c r="AN33" s="301">
        <f t="shared" si="24"/>
        <v>0</v>
      </c>
      <c r="AO33" s="301">
        <f t="shared" si="25"/>
        <v>0</v>
      </c>
      <c r="AP33" s="301">
        <f t="shared" si="26"/>
        <v>0</v>
      </c>
      <c r="AQ33" s="301">
        <f t="shared" si="27"/>
        <v>0</v>
      </c>
      <c r="AR33" s="301">
        <f t="shared" si="28"/>
        <v>0</v>
      </c>
      <c r="AS33" s="301">
        <f t="shared" si="29"/>
        <v>0</v>
      </c>
      <c r="AT33" s="302">
        <f t="shared" si="30"/>
        <v>0</v>
      </c>
      <c r="AU33" s="302">
        <f t="shared" si="31"/>
        <v>0</v>
      </c>
      <c r="AV33" s="81">
        <f t="shared" si="32"/>
        <v>0</v>
      </c>
      <c r="AW33" s="82">
        <f t="shared" si="33"/>
        <v>0</v>
      </c>
      <c r="AX33" s="81">
        <f t="shared" si="34"/>
        <v>0</v>
      </c>
      <c r="AY33" s="83">
        <f t="shared" si="35"/>
        <v>0</v>
      </c>
      <c r="AZ33" s="83">
        <f t="shared" si="36"/>
        <v>0</v>
      </c>
      <c r="BA33" s="82">
        <f>IF(OR(B33=Feiertage!$A$16,B33=Feiertage!$A$19),U33*Zuschläge_24_31/100,IF(AZ33&gt;0,AZ33*Feiertag_mit/100,IF(AX33&gt;0,AX33*Zuschläge_Sa/100,IF(AY33&gt;0,AY33*Zuschlag_So/100,0))))</f>
        <v>0</v>
      </c>
      <c r="BB33" s="82">
        <f>IF(AND(B33&lt;&gt;0,G33=Voreinstellung_Übersicht!$D$41),IF(EG=1,W33*Über_klein/100,IF(EG=2,W33*Über_groß/100,"Fehler")),0)</f>
        <v>0</v>
      </c>
      <c r="BC33" s="299">
        <f t="shared" ca="1" si="41"/>
        <v>0</v>
      </c>
      <c r="BD33" s="219">
        <f t="shared" ca="1" si="37"/>
        <v>1</v>
      </c>
      <c r="BE33" s="303">
        <f ca="1">IF(B33="","",INDIRECT(ADDRESS(MATCH(B33,Soll_AZ,1)+MATCH("Arbeitszeit 1 ab",Voreinstellung_Übersicht!B:B,0)-1,4,,,"Voreinstellung_Übersicht"),TRUE))</f>
        <v>1.6666666666666665</v>
      </c>
      <c r="BF33" s="1">
        <f t="shared" si="42"/>
        <v>0</v>
      </c>
    </row>
    <row r="34" spans="1:104" s="1" customFormat="1" ht="15" x14ac:dyDescent="0.3">
      <c r="A34" s="218">
        <f t="shared" si="0"/>
        <v>9</v>
      </c>
      <c r="B34" s="47">
        <f t="shared" si="38"/>
        <v>42061</v>
      </c>
      <c r="C34" s="219">
        <f t="shared" si="1"/>
        <v>1</v>
      </c>
      <c r="D34" s="220" t="str">
        <f t="shared" si="2"/>
        <v/>
      </c>
      <c r="E34" s="298" t="str">
        <f t="shared" si="3"/>
        <v/>
      </c>
      <c r="F34" s="87">
        <f t="shared" si="4"/>
        <v>42061</v>
      </c>
      <c r="G34" s="147"/>
      <c r="H34" s="74"/>
      <c r="I34" s="75"/>
      <c r="J34" s="221">
        <f t="shared" si="5"/>
        <v>0</v>
      </c>
      <c r="K34" s="76"/>
      <c r="L34" s="221">
        <f t="shared" si="43"/>
        <v>0</v>
      </c>
      <c r="M34" s="74"/>
      <c r="N34" s="75"/>
      <c r="O34" s="221">
        <f t="shared" si="6"/>
        <v>0</v>
      </c>
      <c r="P34" s="76"/>
      <c r="Q34" s="221">
        <f t="shared" si="44"/>
        <v>0</v>
      </c>
      <c r="R34" s="221">
        <f t="shared" si="45"/>
        <v>0</v>
      </c>
      <c r="S34" s="221">
        <f t="shared" si="7"/>
        <v>0</v>
      </c>
      <c r="T34" s="79">
        <f t="shared" si="8"/>
        <v>0</v>
      </c>
      <c r="U34" s="79">
        <f t="shared" si="39"/>
        <v>0</v>
      </c>
      <c r="V34" s="80">
        <f t="shared" ca="1" si="9"/>
        <v>0.33333333329999998</v>
      </c>
      <c r="W34" s="249" t="str">
        <f t="shared" ca="1" si="10"/>
        <v/>
      </c>
      <c r="X34" s="293"/>
      <c r="Y34" s="221">
        <f t="shared" si="11"/>
        <v>0</v>
      </c>
      <c r="Z34" s="299">
        <f ca="1">IF(B34="","",INDIRECT(ADDRESS(MATCH(B34,Soll_AZ,1)+MATCH("Arbeitszeit 1 ab",Voreinstellung_Übersicht!B:B,0)-1,WEEKDAY(B34,2)+4,,,"Voreinstellung_Übersicht"),TRUE))</f>
        <v>0.33333333333333331</v>
      </c>
      <c r="AA34" s="300">
        <f t="shared" ca="1" si="40"/>
        <v>0</v>
      </c>
      <c r="AB34" s="219">
        <f t="shared" si="12"/>
        <v>0</v>
      </c>
      <c r="AC34" s="219">
        <f t="shared" si="13"/>
        <v>0</v>
      </c>
      <c r="AD34" s="219">
        <f t="shared" si="14"/>
        <v>0</v>
      </c>
      <c r="AE34" s="219">
        <f t="shared" si="15"/>
        <v>0</v>
      </c>
      <c r="AF34" s="219">
        <f t="shared" si="16"/>
        <v>0</v>
      </c>
      <c r="AG34" s="219">
        <f t="shared" si="17"/>
        <v>0</v>
      </c>
      <c r="AH34" s="219">
        <f t="shared" si="18"/>
        <v>0</v>
      </c>
      <c r="AI34" s="219">
        <f t="shared" si="19"/>
        <v>0</v>
      </c>
      <c r="AJ34" s="219">
        <f t="shared" si="20"/>
        <v>0</v>
      </c>
      <c r="AK34" s="219">
        <f t="shared" si="21"/>
        <v>0</v>
      </c>
      <c r="AL34" s="219">
        <f t="shared" si="22"/>
        <v>0</v>
      </c>
      <c r="AM34" s="219">
        <f t="shared" si="23"/>
        <v>0</v>
      </c>
      <c r="AN34" s="301">
        <f t="shared" si="24"/>
        <v>0</v>
      </c>
      <c r="AO34" s="301">
        <f t="shared" si="25"/>
        <v>0</v>
      </c>
      <c r="AP34" s="301">
        <f t="shared" si="26"/>
        <v>0</v>
      </c>
      <c r="AQ34" s="301">
        <f t="shared" si="27"/>
        <v>0</v>
      </c>
      <c r="AR34" s="301">
        <f t="shared" si="28"/>
        <v>0</v>
      </c>
      <c r="AS34" s="301">
        <f t="shared" si="29"/>
        <v>0</v>
      </c>
      <c r="AT34" s="302">
        <f t="shared" si="30"/>
        <v>0</v>
      </c>
      <c r="AU34" s="302">
        <f t="shared" si="31"/>
        <v>0</v>
      </c>
      <c r="AV34" s="81">
        <f t="shared" si="32"/>
        <v>0</v>
      </c>
      <c r="AW34" s="82">
        <f t="shared" si="33"/>
        <v>0</v>
      </c>
      <c r="AX34" s="81">
        <f t="shared" si="34"/>
        <v>0</v>
      </c>
      <c r="AY34" s="83">
        <f t="shared" si="35"/>
        <v>0</v>
      </c>
      <c r="AZ34" s="83">
        <f t="shared" si="36"/>
        <v>0</v>
      </c>
      <c r="BA34" s="82">
        <f>IF(OR(B34=Feiertage!$A$16,B34=Feiertage!$A$19),U34*Zuschläge_24_31/100,IF(AZ34&gt;0,AZ34*Feiertag_mit/100,IF(AX34&gt;0,AX34*Zuschläge_Sa/100,IF(AY34&gt;0,AY34*Zuschlag_So/100,0))))</f>
        <v>0</v>
      </c>
      <c r="BB34" s="82">
        <f>IF(AND(B34&lt;&gt;0,G34=Voreinstellung_Übersicht!$D$41),IF(EG=1,W34*Über_klein/100,IF(EG=2,W34*Über_groß/100,"Fehler")),0)</f>
        <v>0</v>
      </c>
      <c r="BC34" s="299">
        <f t="shared" ca="1" si="41"/>
        <v>0</v>
      </c>
      <c r="BD34" s="219">
        <f t="shared" ca="1" si="37"/>
        <v>1</v>
      </c>
      <c r="BE34" s="303">
        <f ca="1">IF(B34="","",INDIRECT(ADDRESS(MATCH(B34,Soll_AZ,1)+MATCH("Arbeitszeit 1 ab",Voreinstellung_Übersicht!B:B,0)-1,4,,,"Voreinstellung_Übersicht"),TRUE))</f>
        <v>1.6666666666666665</v>
      </c>
      <c r="BF34" s="1">
        <f t="shared" si="42"/>
        <v>0</v>
      </c>
    </row>
    <row r="35" spans="1:104" s="1" customFormat="1" ht="15" x14ac:dyDescent="0.3">
      <c r="A35" s="218">
        <f t="shared" si="0"/>
        <v>9</v>
      </c>
      <c r="B35" s="47">
        <f t="shared" si="38"/>
        <v>42062</v>
      </c>
      <c r="C35" s="219">
        <f t="shared" si="1"/>
        <v>1</v>
      </c>
      <c r="D35" s="220" t="str">
        <f t="shared" si="2"/>
        <v/>
      </c>
      <c r="E35" s="298" t="str">
        <f t="shared" si="3"/>
        <v/>
      </c>
      <c r="F35" s="87">
        <f t="shared" si="4"/>
        <v>42062</v>
      </c>
      <c r="G35" s="147"/>
      <c r="H35" s="74"/>
      <c r="I35" s="75"/>
      <c r="J35" s="221">
        <f t="shared" si="5"/>
        <v>0</v>
      </c>
      <c r="K35" s="76"/>
      <c r="L35" s="221">
        <f t="shared" si="43"/>
        <v>0</v>
      </c>
      <c r="M35" s="74"/>
      <c r="N35" s="75"/>
      <c r="O35" s="221">
        <f t="shared" si="6"/>
        <v>0</v>
      </c>
      <c r="P35" s="76"/>
      <c r="Q35" s="221">
        <f t="shared" si="44"/>
        <v>0</v>
      </c>
      <c r="R35" s="221">
        <f t="shared" si="45"/>
        <v>0</v>
      </c>
      <c r="S35" s="221">
        <f t="shared" si="7"/>
        <v>0</v>
      </c>
      <c r="T35" s="79">
        <f t="shared" si="8"/>
        <v>0</v>
      </c>
      <c r="U35" s="79">
        <f t="shared" si="39"/>
        <v>0</v>
      </c>
      <c r="V35" s="80">
        <f t="shared" ca="1" si="9"/>
        <v>0.33333333329999998</v>
      </c>
      <c r="W35" s="249" t="str">
        <f t="shared" ca="1" si="10"/>
        <v/>
      </c>
      <c r="X35" s="293"/>
      <c r="Y35" s="221">
        <f t="shared" si="11"/>
        <v>0</v>
      </c>
      <c r="Z35" s="299">
        <f ca="1">IF(B35="","",INDIRECT(ADDRESS(MATCH(B35,Soll_AZ,1)+MATCH("Arbeitszeit 1 ab",Voreinstellung_Übersicht!B:B,0)-1,WEEKDAY(B35,2)+4,,,"Voreinstellung_Übersicht"),TRUE))</f>
        <v>0.33333333333333331</v>
      </c>
      <c r="AA35" s="300">
        <f t="shared" ca="1" si="40"/>
        <v>0</v>
      </c>
      <c r="AB35" s="219">
        <f t="shared" si="12"/>
        <v>0</v>
      </c>
      <c r="AC35" s="219">
        <f t="shared" si="13"/>
        <v>0</v>
      </c>
      <c r="AD35" s="219">
        <f t="shared" si="14"/>
        <v>0</v>
      </c>
      <c r="AE35" s="219">
        <f t="shared" si="15"/>
        <v>0</v>
      </c>
      <c r="AF35" s="219">
        <f t="shared" si="16"/>
        <v>0</v>
      </c>
      <c r="AG35" s="219">
        <f t="shared" si="17"/>
        <v>0</v>
      </c>
      <c r="AH35" s="219">
        <f t="shared" si="18"/>
        <v>0</v>
      </c>
      <c r="AI35" s="219">
        <f t="shared" si="19"/>
        <v>0</v>
      </c>
      <c r="AJ35" s="219">
        <f t="shared" si="20"/>
        <v>0</v>
      </c>
      <c r="AK35" s="219">
        <f t="shared" si="21"/>
        <v>0</v>
      </c>
      <c r="AL35" s="219">
        <f t="shared" si="22"/>
        <v>0</v>
      </c>
      <c r="AM35" s="219">
        <f t="shared" si="23"/>
        <v>0</v>
      </c>
      <c r="AN35" s="301">
        <f t="shared" si="24"/>
        <v>0</v>
      </c>
      <c r="AO35" s="301">
        <f t="shared" si="25"/>
        <v>0</v>
      </c>
      <c r="AP35" s="301">
        <f t="shared" si="26"/>
        <v>0</v>
      </c>
      <c r="AQ35" s="301">
        <f t="shared" si="27"/>
        <v>0</v>
      </c>
      <c r="AR35" s="301">
        <f t="shared" si="28"/>
        <v>0</v>
      </c>
      <c r="AS35" s="301">
        <f t="shared" si="29"/>
        <v>0</v>
      </c>
      <c r="AT35" s="302">
        <f t="shared" si="30"/>
        <v>0</v>
      </c>
      <c r="AU35" s="302">
        <f t="shared" si="31"/>
        <v>0</v>
      </c>
      <c r="AV35" s="81">
        <f t="shared" si="32"/>
        <v>0</v>
      </c>
      <c r="AW35" s="82">
        <f t="shared" si="33"/>
        <v>0</v>
      </c>
      <c r="AX35" s="81">
        <f t="shared" si="34"/>
        <v>0</v>
      </c>
      <c r="AY35" s="83">
        <f t="shared" si="35"/>
        <v>0</v>
      </c>
      <c r="AZ35" s="83">
        <f t="shared" si="36"/>
        <v>0</v>
      </c>
      <c r="BA35" s="82">
        <f>IF(OR(B35=Feiertage!$A$16,B35=Feiertage!$A$19),U35*Zuschläge_24_31/100,IF(AZ35&gt;0,AZ35*Feiertag_mit/100,IF(AX35&gt;0,AX35*Zuschläge_Sa/100,IF(AY35&gt;0,AY35*Zuschlag_So/100,0))))</f>
        <v>0</v>
      </c>
      <c r="BB35" s="82">
        <f>IF(AND(B35&lt;&gt;0,G35=Voreinstellung_Übersicht!$D$41),IF(EG=1,W35*Über_klein/100,IF(EG=2,W35*Über_groß/100,"Fehler")),0)</f>
        <v>0</v>
      </c>
      <c r="BC35" s="299">
        <f t="shared" ca="1" si="41"/>
        <v>0</v>
      </c>
      <c r="BD35" s="219">
        <f t="shared" ca="1" si="37"/>
        <v>1</v>
      </c>
      <c r="BE35" s="303">
        <f ca="1">IF(B35="","",INDIRECT(ADDRESS(MATCH(B35,Soll_AZ,1)+MATCH("Arbeitszeit 1 ab",Voreinstellung_Übersicht!B:B,0)-1,4,,,"Voreinstellung_Übersicht"),TRUE))</f>
        <v>1.6666666666666665</v>
      </c>
      <c r="BF35" s="1">
        <f t="shared" si="42"/>
        <v>0</v>
      </c>
    </row>
    <row r="36" spans="1:104" s="1" customFormat="1" ht="15" x14ac:dyDescent="0.3">
      <c r="A36" s="218" t="str">
        <f>IF(B36="","",WEEKNUM(B36))</f>
        <v/>
      </c>
      <c r="B36" s="47" t="str">
        <f>IF(MONTH(B35+1)=2,B35+1,"")</f>
        <v/>
      </c>
      <c r="C36" s="219" t="str">
        <f>IF(B36="","",NETWORKDAYS(B36,B36,Feiertage))</f>
        <v/>
      </c>
      <c r="D36" s="220" t="str">
        <f t="shared" si="2"/>
        <v/>
      </c>
      <c r="E36" s="298" t="str">
        <f t="shared" si="3"/>
        <v/>
      </c>
      <c r="F36" s="87" t="str">
        <f t="shared" si="4"/>
        <v/>
      </c>
      <c r="G36" s="147"/>
      <c r="H36" s="74"/>
      <c r="I36" s="75"/>
      <c r="J36" s="221">
        <f t="shared" si="5"/>
        <v>0</v>
      </c>
      <c r="K36" s="76"/>
      <c r="L36" s="221">
        <f t="shared" si="43"/>
        <v>0</v>
      </c>
      <c r="M36" s="74"/>
      <c r="N36" s="75"/>
      <c r="O36" s="221">
        <f t="shared" si="6"/>
        <v>0</v>
      </c>
      <c r="P36" s="76"/>
      <c r="Q36" s="221">
        <f t="shared" si="44"/>
        <v>0</v>
      </c>
      <c r="R36" s="221">
        <f t="shared" si="45"/>
        <v>0</v>
      </c>
      <c r="S36" s="221">
        <f t="shared" si="7"/>
        <v>0</v>
      </c>
      <c r="T36" s="79" t="str">
        <f>IF(B36="","",IF(I36&lt;=M36,I36-H36+N36-M36,IF(I36&lt;=N36,N36-H36,I36-H36)))</f>
        <v/>
      </c>
      <c r="U36" s="79" t="str">
        <f>IF(B36="","",ROUND(T36-S36,10))</f>
        <v/>
      </c>
      <c r="V36" s="80" t="str">
        <f>IF(B36="","",ROUND(IF(AND(D36&lt;&gt;"",G36=""),IF(ISERROR(VLOOKUP(B36,Feiertage,3,FALSE)),0,Z36),IF(B36="",0,IF(G36&lt;&gt;"",IF(UPPER(G36)=VLOOKUP(UPPER(G36),Code,1,FALSE),VLOOKUP(G36,Code,2,FALSE)*Z36,Z36),Z36))),10))</f>
        <v/>
      </c>
      <c r="W36" s="249" t="str">
        <f t="shared" si="10"/>
        <v/>
      </c>
      <c r="X36" s="293"/>
      <c r="Y36" s="221">
        <f t="shared" si="11"/>
        <v>0</v>
      </c>
      <c r="Z36" s="299" t="str">
        <f ca="1">IF(B36="","",INDIRECT(ADDRESS(MATCH(B36,Soll_AZ,1)+MATCH("Arbeitszeit 1 ab",Voreinstellung_Übersicht!B:B,0)-1,WEEKDAY(B36,2)+4,,,"Voreinstellung_Übersicht"),TRUE))</f>
        <v/>
      </c>
      <c r="AA36" s="300">
        <f t="shared" ca="1" si="40"/>
        <v>0</v>
      </c>
      <c r="AB36" s="219">
        <f t="shared" si="12"/>
        <v>0</v>
      </c>
      <c r="AC36" s="219">
        <f t="shared" si="13"/>
        <v>0</v>
      </c>
      <c r="AD36" s="219">
        <f t="shared" si="14"/>
        <v>0</v>
      </c>
      <c r="AE36" s="219">
        <f t="shared" si="15"/>
        <v>0</v>
      </c>
      <c r="AF36" s="219">
        <f t="shared" si="16"/>
        <v>0</v>
      </c>
      <c r="AG36" s="219">
        <f t="shared" si="17"/>
        <v>0</v>
      </c>
      <c r="AH36" s="219">
        <f t="shared" si="18"/>
        <v>0</v>
      </c>
      <c r="AI36" s="219">
        <f t="shared" si="19"/>
        <v>0</v>
      </c>
      <c r="AJ36" s="219">
        <f t="shared" si="20"/>
        <v>0</v>
      </c>
      <c r="AK36" s="219">
        <f t="shared" si="21"/>
        <v>0</v>
      </c>
      <c r="AL36" s="219">
        <f t="shared" si="22"/>
        <v>0</v>
      </c>
      <c r="AM36" s="219">
        <f t="shared" si="23"/>
        <v>0</v>
      </c>
      <c r="AN36" s="301">
        <f t="shared" si="24"/>
        <v>0</v>
      </c>
      <c r="AO36" s="301">
        <f t="shared" si="25"/>
        <v>0</v>
      </c>
      <c r="AP36" s="301">
        <f t="shared" si="26"/>
        <v>0</v>
      </c>
      <c r="AQ36" s="301">
        <f t="shared" si="27"/>
        <v>0</v>
      </c>
      <c r="AR36" s="301">
        <f t="shared" si="28"/>
        <v>0</v>
      </c>
      <c r="AS36" s="301" t="str">
        <f>IF(B36="","",IF(WEEKDAY(B36,2)=7,U36,0))</f>
        <v/>
      </c>
      <c r="AT36" s="302">
        <f t="shared" si="30"/>
        <v>0</v>
      </c>
      <c r="AU36" s="302">
        <f t="shared" si="31"/>
        <v>0</v>
      </c>
      <c r="AV36" s="81" t="str">
        <f>IF(B36="","",SUM(AN36:AO36))</f>
        <v/>
      </c>
      <c r="AW36" s="82" t="str">
        <f>IF(B36="","",AV36*Zuschlag_Nacht/100)</f>
        <v/>
      </c>
      <c r="AX36" s="81" t="str">
        <f>IF(B36="","",IF(WEEKDAY(B36,2)=6,AQ36+AR36,0))</f>
        <v/>
      </c>
      <c r="AY36" s="83" t="str">
        <f>AS36</f>
        <v/>
      </c>
      <c r="AZ36" s="83" t="str">
        <f>IF(B36="","",AP36)</f>
        <v/>
      </c>
      <c r="BA36" s="82" t="str">
        <f>IF(B36="","",IF(OR(B36=Feiertage!$A$16,B36=Feiertage!$A$19),U36*Zuschläge_24_31/100,IF(AZ36&gt;0,AZ36*Feiertag_mit/100,IF(AX36&gt;0,AX36*Zuschläge_Sa/100,IF(AY36&gt;0,AY36*Zuschlag_So/100,0)))))</f>
        <v/>
      </c>
      <c r="BB36" s="82" t="str">
        <f>IF(B36="","",IF(AND(B36&lt;&gt;0,G36=Voreinstellung_Übersicht!$D$41),IF(EG=1,W36*Über_klein/100,IF(EG=2,W36*Über_groß/100,"Fehler")),0))</f>
        <v/>
      </c>
      <c r="BC36" s="299">
        <f t="shared" ca="1" si="41"/>
        <v>0</v>
      </c>
      <c r="BD36" s="219" t="e">
        <f t="shared" ca="1" si="37"/>
        <v>#VALUE!</v>
      </c>
      <c r="BE36" s="303" t="str">
        <f ca="1">IF(B36="","",INDIRECT(ADDRESS(MATCH(B36,Soll_AZ,1)+MATCH("Arbeitszeit 1 ab",Voreinstellung_Übersicht!B:B,0)-1,4,,,"Voreinstellung_Übersicht"),TRUE))</f>
        <v/>
      </c>
      <c r="BF36" s="1">
        <f>IF(OR(G36="WB",G36="DR",AND(U36&lt;&gt;"",U36&gt;0)),1,0)</f>
        <v>0</v>
      </c>
    </row>
    <row r="37" spans="1:104" s="1" customFormat="1" ht="15" x14ac:dyDescent="0.3">
      <c r="A37" s="218"/>
      <c r="B37" s="47"/>
      <c r="C37" s="219"/>
      <c r="D37" s="220"/>
      <c r="E37" s="298"/>
      <c r="F37" s="87"/>
      <c r="G37" s="147"/>
      <c r="H37" s="74"/>
      <c r="I37" s="75"/>
      <c r="J37" s="221"/>
      <c r="K37" s="76"/>
      <c r="L37" s="221"/>
      <c r="M37" s="74"/>
      <c r="N37" s="75"/>
      <c r="O37" s="221"/>
      <c r="P37" s="76"/>
      <c r="Q37" s="221"/>
      <c r="R37" s="221"/>
      <c r="S37" s="221"/>
      <c r="T37" s="79"/>
      <c r="U37" s="79"/>
      <c r="V37" s="80"/>
      <c r="W37" s="249"/>
      <c r="X37" s="293"/>
      <c r="Y37" s="221"/>
      <c r="Z37" s="299"/>
      <c r="AA37" s="300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301"/>
      <c r="AO37" s="301"/>
      <c r="AP37" s="301"/>
      <c r="AQ37" s="301"/>
      <c r="AR37" s="301"/>
      <c r="AS37" s="301"/>
      <c r="AT37" s="302"/>
      <c r="AU37" s="302"/>
      <c r="AV37" s="81"/>
      <c r="AW37" s="82"/>
      <c r="AX37" s="81"/>
      <c r="AY37" s="83"/>
      <c r="AZ37" s="83"/>
      <c r="BA37" s="82"/>
      <c r="BB37" s="82"/>
      <c r="BC37" s="299">
        <f t="shared" ca="1" si="41"/>
        <v>0</v>
      </c>
      <c r="BD37" s="219" t="e">
        <f t="shared" ca="1" si="37"/>
        <v>#VALUE!</v>
      </c>
      <c r="BE37" s="303" t="str">
        <f ca="1">IF(B37="","",INDIRECT(ADDRESS(MATCH(B37,Soll_AZ,1)+MATCH("Arbeitszeit 1 ab",Voreinstellung_Übersicht!B:B,0)-1,4,,,"Voreinstellung_Übersicht"),TRUE))</f>
        <v/>
      </c>
      <c r="BF37" s="1">
        <f t="shared" si="42"/>
        <v>0</v>
      </c>
    </row>
    <row r="38" spans="1:104" s="172" customFormat="1" ht="15.75" customHeight="1" x14ac:dyDescent="0.3">
      <c r="A38" s="229"/>
      <c r="B38" s="217"/>
      <c r="C38" s="230"/>
      <c r="D38" s="231"/>
      <c r="E38" s="304"/>
      <c r="F38" s="216"/>
      <c r="G38" s="147"/>
      <c r="H38" s="77"/>
      <c r="I38" s="75"/>
      <c r="J38" s="221"/>
      <c r="K38" s="76"/>
      <c r="L38" s="221"/>
      <c r="M38" s="77"/>
      <c r="N38" s="215"/>
      <c r="O38" s="232"/>
      <c r="P38" s="78"/>
      <c r="Q38" s="221"/>
      <c r="R38" s="221"/>
      <c r="S38" s="221"/>
      <c r="T38" s="79"/>
      <c r="U38" s="79"/>
      <c r="V38" s="80"/>
      <c r="W38" s="249"/>
      <c r="X38" s="294"/>
      <c r="Y38" s="221"/>
      <c r="Z38" s="299"/>
      <c r="AA38" s="300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301"/>
      <c r="AO38" s="301"/>
      <c r="AP38" s="301"/>
      <c r="AQ38" s="301"/>
      <c r="AR38" s="301"/>
      <c r="AS38" s="301"/>
      <c r="AT38" s="302"/>
      <c r="AU38" s="302"/>
      <c r="AV38" s="81"/>
      <c r="AW38" s="82"/>
      <c r="AX38" s="81"/>
      <c r="AY38" s="212"/>
      <c r="AZ38" s="212"/>
      <c r="BA38" s="213"/>
      <c r="BB38" s="213"/>
      <c r="BC38" s="305">
        <f t="shared" ca="1" si="41"/>
        <v>0</v>
      </c>
      <c r="BD38" s="219" t="e">
        <f t="shared" ca="1" si="37"/>
        <v>#VALUE!</v>
      </c>
      <c r="BE38" s="306" t="str">
        <f ca="1">IF(B38="","",INDIRECT(ADDRESS(MATCH(B38,Soll_AZ,1)+MATCH("Arbeitszeit 1 ab",Voreinstellung_Übersicht!B:B,0)-1,4,,,"Voreinstellung_Übersicht"),TRUE))</f>
        <v/>
      </c>
      <c r="BF38" s="1">
        <f t="shared" si="42"/>
        <v>0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5" customHeight="1" x14ac:dyDescent="0.25">
      <c r="A39" s="233"/>
      <c r="B39" s="233"/>
      <c r="C39" s="233"/>
      <c r="D39" s="233"/>
      <c r="E39" s="233"/>
      <c r="F39" s="493" t="s">
        <v>49</v>
      </c>
      <c r="G39" s="489"/>
      <c r="H39" s="482" t="s">
        <v>171</v>
      </c>
      <c r="I39" s="483"/>
      <c r="J39" s="307"/>
      <c r="K39" s="308">
        <f>AB39</f>
        <v>0</v>
      </c>
      <c r="L39" s="221"/>
      <c r="M39" s="206"/>
      <c r="N39" s="206"/>
      <c r="O39" s="221"/>
      <c r="P39" s="206"/>
      <c r="Q39" s="221"/>
      <c r="R39" s="221"/>
      <c r="S39" s="221"/>
      <c r="T39" s="479" t="s">
        <v>172</v>
      </c>
      <c r="U39" s="482" t="s">
        <v>171</v>
      </c>
      <c r="V39" s="483"/>
      <c r="W39" s="234">
        <f ca="1">Jan!W41</f>
        <v>0</v>
      </c>
      <c r="X39" s="309"/>
      <c r="Y39" s="221" t="s">
        <v>173</v>
      </c>
      <c r="Z39" s="299" t="s">
        <v>174</v>
      </c>
      <c r="AA39" s="300"/>
      <c r="AB39" s="219">
        <f>Jan!AB41</f>
        <v>0</v>
      </c>
      <c r="AC39" s="219">
        <f>Jan!AC41</f>
        <v>0</v>
      </c>
      <c r="AD39" s="219">
        <f>Jan!AD41</f>
        <v>0</v>
      </c>
      <c r="AE39" s="219">
        <f>Jan!AE41</f>
        <v>0</v>
      </c>
      <c r="AF39" s="219">
        <f>Jan!AF41</f>
        <v>0</v>
      </c>
      <c r="AG39" s="219">
        <f>Jan!AG41</f>
        <v>0</v>
      </c>
      <c r="AH39" s="219">
        <f>Jan!AH41</f>
        <v>0</v>
      </c>
      <c r="AI39" s="219">
        <f>Jan!AI41</f>
        <v>0</v>
      </c>
      <c r="AJ39" s="219">
        <f>Jan!AJ41</f>
        <v>0</v>
      </c>
      <c r="AK39" s="219">
        <f>Jan!AK41</f>
        <v>0</v>
      </c>
      <c r="AL39" s="219">
        <f>Jan!AL41</f>
        <v>0</v>
      </c>
      <c r="AM39" s="219">
        <f>Jan!AM41</f>
        <v>0</v>
      </c>
      <c r="AN39" s="301"/>
      <c r="AO39" s="301"/>
      <c r="AP39" s="301"/>
      <c r="AQ39" s="301"/>
      <c r="AR39" s="301"/>
      <c r="AS39" s="301"/>
      <c r="AT39" s="302"/>
      <c r="AU39" s="302"/>
      <c r="AV39" s="484" t="s">
        <v>176</v>
      </c>
      <c r="AW39" s="234">
        <f>Voreinstellung_Übersicht!H12</f>
        <v>0</v>
      </c>
      <c r="AX39" s="310">
        <f>IF(AZ_Konto,SUM(AW8:AW38),0)</f>
        <v>0</v>
      </c>
      <c r="AY39" s="311"/>
      <c r="AZ39" s="312"/>
      <c r="BA39" s="311">
        <f>IF(AZ_Konto,SUM(BA8:BA38),0)</f>
        <v>0</v>
      </c>
      <c r="BB39" s="311">
        <f>IF(AZ_Konto,SUM(BB8:BB38),0)</f>
        <v>0</v>
      </c>
      <c r="BC39" s="299">
        <f ca="1">BC38</f>
        <v>0</v>
      </c>
      <c r="BD39" s="219"/>
      <c r="BE39" s="303"/>
      <c r="BF39"/>
    </row>
    <row r="40" spans="1:104" ht="15" x14ac:dyDescent="0.25">
      <c r="A40" s="233"/>
      <c r="B40" s="233"/>
      <c r="C40" s="233"/>
      <c r="D40" s="233"/>
      <c r="E40" s="233"/>
      <c r="F40" s="488"/>
      <c r="G40" s="490"/>
      <c r="H40" s="482" t="s">
        <v>177</v>
      </c>
      <c r="I40" s="483"/>
      <c r="J40" s="235"/>
      <c r="K40" s="236">
        <f>-AB40</f>
        <v>0</v>
      </c>
      <c r="L40" s="221"/>
      <c r="M40" s="206"/>
      <c r="N40" s="206"/>
      <c r="O40" s="221"/>
      <c r="P40" s="206"/>
      <c r="Q40" s="221"/>
      <c r="R40" s="221"/>
      <c r="S40" s="221"/>
      <c r="T40" s="480"/>
      <c r="U40" s="482" t="s">
        <v>177</v>
      </c>
      <c r="V40" s="483"/>
      <c r="W40" s="237">
        <f ca="1">SUM(W8:W38)</f>
        <v>0</v>
      </c>
      <c r="X40" s="309"/>
      <c r="Y40" s="221">
        <f>SUM(Y8:Y38)</f>
        <v>0</v>
      </c>
      <c r="Z40" s="299">
        <f ca="1">SUM(Z8:Z38)</f>
        <v>6.6666666666666643</v>
      </c>
      <c r="AA40" s="300"/>
      <c r="AB40" s="219">
        <f t="shared" ref="AB40:AM40" si="46">SUM(AB8:AB38)</f>
        <v>0</v>
      </c>
      <c r="AC40" s="219">
        <f t="shared" si="46"/>
        <v>0</v>
      </c>
      <c r="AD40" s="219">
        <f t="shared" si="46"/>
        <v>0</v>
      </c>
      <c r="AE40" s="219">
        <f t="shared" si="46"/>
        <v>0</v>
      </c>
      <c r="AF40" s="219">
        <f t="shared" si="46"/>
        <v>0</v>
      </c>
      <c r="AG40" s="219">
        <f t="shared" si="46"/>
        <v>0</v>
      </c>
      <c r="AH40" s="219">
        <f t="shared" si="46"/>
        <v>0</v>
      </c>
      <c r="AI40" s="219">
        <f t="shared" si="46"/>
        <v>0</v>
      </c>
      <c r="AJ40" s="219">
        <f t="shared" si="46"/>
        <v>0</v>
      </c>
      <c r="AK40" s="219">
        <f t="shared" si="46"/>
        <v>0</v>
      </c>
      <c r="AL40" s="219">
        <f t="shared" si="46"/>
        <v>0</v>
      </c>
      <c r="AM40" s="219">
        <f t="shared" si="46"/>
        <v>0</v>
      </c>
      <c r="AN40" s="301"/>
      <c r="AO40" s="301"/>
      <c r="AP40" s="301"/>
      <c r="AQ40" s="301"/>
      <c r="AR40" s="301"/>
      <c r="AS40" s="301"/>
      <c r="AT40" s="302"/>
      <c r="AU40" s="302"/>
      <c r="AV40" s="485"/>
      <c r="AW40" s="237" t="str">
        <f>IF(SUM(AX39,BA39,BB39)&gt;0,SUM(AX39,BA39,BB39),"")</f>
        <v/>
      </c>
      <c r="AX40" s="313"/>
      <c r="AY40" s="313"/>
      <c r="AZ40" s="313"/>
      <c r="BA40" s="313"/>
      <c r="BB40" s="313"/>
      <c r="BC40" s="299"/>
      <c r="BD40" s="219"/>
      <c r="BE40" s="303"/>
      <c r="BF40"/>
    </row>
    <row r="41" spans="1:104" ht="15" x14ac:dyDescent="0.25">
      <c r="A41" s="233"/>
      <c r="B41" s="233"/>
      <c r="C41" s="233"/>
      <c r="D41" s="233"/>
      <c r="E41" s="233"/>
      <c r="F41" s="491"/>
      <c r="G41" s="492"/>
      <c r="H41" s="482" t="s">
        <v>178</v>
      </c>
      <c r="I41" s="483"/>
      <c r="J41" s="238"/>
      <c r="K41" s="239">
        <f>AB41</f>
        <v>0</v>
      </c>
      <c r="L41" s="221"/>
      <c r="M41" s="206"/>
      <c r="N41" s="206"/>
      <c r="O41" s="221"/>
      <c r="P41" s="206"/>
      <c r="Q41" s="221"/>
      <c r="R41" s="221"/>
      <c r="S41" s="221"/>
      <c r="T41" s="481"/>
      <c r="U41" s="482" t="s">
        <v>178</v>
      </c>
      <c r="V41" s="483"/>
      <c r="W41" s="240">
        <f ca="1">SUM(W39:W40)</f>
        <v>0</v>
      </c>
      <c r="X41" s="309"/>
      <c r="Y41" s="221"/>
      <c r="Z41" s="299"/>
      <c r="AA41" s="300"/>
      <c r="AB41" s="219">
        <f>AB39-AB40</f>
        <v>0</v>
      </c>
      <c r="AC41" s="219">
        <f t="shared" ref="AC41:AM41" si="47">SUM(AC39:AC40)</f>
        <v>0</v>
      </c>
      <c r="AD41" s="219">
        <f t="shared" si="47"/>
        <v>0</v>
      </c>
      <c r="AE41" s="219">
        <f t="shared" si="47"/>
        <v>0</v>
      </c>
      <c r="AF41" s="219">
        <f t="shared" si="47"/>
        <v>0</v>
      </c>
      <c r="AG41" s="219">
        <f t="shared" si="47"/>
        <v>0</v>
      </c>
      <c r="AH41" s="219">
        <f t="shared" si="47"/>
        <v>0</v>
      </c>
      <c r="AI41" s="219">
        <f t="shared" si="47"/>
        <v>0</v>
      </c>
      <c r="AJ41" s="219">
        <f t="shared" si="47"/>
        <v>0</v>
      </c>
      <c r="AK41" s="219">
        <f t="shared" si="47"/>
        <v>0</v>
      </c>
      <c r="AL41" s="219">
        <f t="shared" si="47"/>
        <v>0</v>
      </c>
      <c r="AM41" s="219">
        <f t="shared" si="47"/>
        <v>0</v>
      </c>
      <c r="AN41" s="301"/>
      <c r="AO41" s="301"/>
      <c r="AP41" s="301"/>
      <c r="AQ41" s="301"/>
      <c r="AR41" s="301"/>
      <c r="AS41" s="301"/>
      <c r="AT41" s="302"/>
      <c r="AU41" s="302"/>
      <c r="AV41" s="486"/>
      <c r="AW41" s="240">
        <f>SUM(AW39:AW40)</f>
        <v>0</v>
      </c>
      <c r="AX41" s="314"/>
      <c r="AY41" s="314"/>
      <c r="AZ41" s="314"/>
      <c r="BA41" s="314"/>
      <c r="BB41" s="314"/>
      <c r="BC41" s="299"/>
      <c r="BD41" s="219"/>
      <c r="BE41" s="303"/>
      <c r="BF41"/>
    </row>
    <row r="42" spans="1:104" s="1" customFormat="1" ht="15" x14ac:dyDescent="0.3">
      <c r="A42" s="88"/>
      <c r="B42" s="47"/>
      <c r="C42" s="6"/>
      <c r="D42" s="89"/>
      <c r="E42" s="90"/>
      <c r="F42" s="494" t="s">
        <v>179</v>
      </c>
      <c r="G42" s="495"/>
      <c r="H42" s="495"/>
      <c r="I42" s="496"/>
      <c r="J42" s="347"/>
      <c r="K42" s="186">
        <f>NETWORKDAYS(B8,IF(B36="",B35,B36),Feiertage)</f>
        <v>20</v>
      </c>
      <c r="L42" s="331"/>
      <c r="M42" s="330"/>
      <c r="N42" s="330"/>
      <c r="O42" s="331"/>
      <c r="P42" s="330"/>
      <c r="Q42" s="331"/>
      <c r="R42" s="331"/>
      <c r="S42" s="331"/>
      <c r="T42" s="332"/>
      <c r="U42" s="332"/>
      <c r="V42" s="332"/>
      <c r="W42" s="332"/>
      <c r="X42" s="333"/>
      <c r="Y42" s="331"/>
      <c r="Z42" s="334"/>
      <c r="AA42" s="335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7"/>
      <c r="AO42" s="337"/>
      <c r="AP42" s="337"/>
      <c r="AQ42" s="337"/>
      <c r="AR42" s="337"/>
      <c r="AS42" s="337"/>
      <c r="AT42" s="338"/>
      <c r="AU42" s="338"/>
      <c r="AV42" s="339"/>
      <c r="AW42" s="340"/>
      <c r="AX42" s="83"/>
      <c r="AY42" s="83"/>
      <c r="AZ42" s="83"/>
      <c r="BA42" s="173"/>
      <c r="BB42" s="173"/>
      <c r="BC42" s="15"/>
      <c r="BD42" s="6"/>
      <c r="BE42" s="169"/>
    </row>
    <row r="43" spans="1:104" s="1" customFormat="1" ht="15" x14ac:dyDescent="0.3">
      <c r="A43" s="11"/>
      <c r="B43" s="47"/>
      <c r="C43" s="6"/>
      <c r="D43" s="6"/>
      <c r="E43" s="12"/>
      <c r="F43" s="487" t="s">
        <v>180</v>
      </c>
      <c r="G43" s="487"/>
      <c r="H43" s="487"/>
      <c r="I43" s="487"/>
      <c r="J43" s="348"/>
      <c r="K43" s="186">
        <f>SUM(BF8:BF38)</f>
        <v>0</v>
      </c>
      <c r="L43" s="336"/>
      <c r="M43" s="341"/>
      <c r="N43" s="341"/>
      <c r="O43" s="336"/>
      <c r="P43" s="341"/>
      <c r="Q43" s="336"/>
      <c r="R43" s="336"/>
      <c r="S43" s="336"/>
      <c r="T43" s="341"/>
      <c r="U43" s="341"/>
      <c r="V43" s="341"/>
      <c r="W43" s="341"/>
      <c r="X43" s="342"/>
      <c r="Y43" s="331"/>
      <c r="Z43" s="343"/>
      <c r="AA43" s="344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45"/>
      <c r="AO43" s="336"/>
      <c r="AP43" s="336"/>
      <c r="AQ43" s="336"/>
      <c r="AR43" s="336"/>
      <c r="AS43" s="336"/>
      <c r="AT43" s="346"/>
      <c r="AU43" s="346"/>
      <c r="AV43" s="341"/>
      <c r="AW43" s="341"/>
      <c r="AX43" s="26"/>
      <c r="AY43" s="26"/>
      <c r="AZ43" s="26"/>
      <c r="BA43" s="26"/>
      <c r="BC43" s="6"/>
      <c r="BD43" s="6"/>
      <c r="BE43" s="6"/>
    </row>
    <row r="44" spans="1:104" s="1" customFormat="1" ht="15" x14ac:dyDescent="0.3">
      <c r="A44" s="11"/>
      <c r="B44" s="47"/>
      <c r="C44" s="6"/>
      <c r="D44" s="6"/>
      <c r="E44" s="12"/>
      <c r="F44" s="66"/>
      <c r="G44" s="66"/>
      <c r="H44" s="26"/>
      <c r="I44" s="26"/>
      <c r="J44" s="6"/>
      <c r="K44" s="26"/>
      <c r="L44" s="6"/>
      <c r="M44" s="26"/>
      <c r="N44" s="26"/>
      <c r="O44" s="6"/>
      <c r="P44" s="26"/>
      <c r="Q44" s="6"/>
      <c r="R44" s="6"/>
      <c r="S44" s="6"/>
      <c r="T44" s="26"/>
      <c r="U44" s="26"/>
      <c r="V44" s="26"/>
      <c r="W44" s="26"/>
      <c r="X44" s="48"/>
      <c r="Y44" s="7"/>
      <c r="Z44" s="8"/>
      <c r="AA44" s="174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13"/>
      <c r="AO44" s="6"/>
      <c r="AP44" s="6"/>
      <c r="AQ44" s="6"/>
      <c r="AR44" s="6"/>
      <c r="AS44" s="6"/>
      <c r="AT44" s="14"/>
      <c r="AU44" s="14"/>
      <c r="AV44" s="26"/>
      <c r="AW44" s="26"/>
      <c r="AX44" s="26"/>
      <c r="AY44" s="26"/>
      <c r="AZ44" s="26"/>
      <c r="BA44" s="26"/>
      <c r="BC44" s="6"/>
      <c r="BD44" s="6"/>
      <c r="BE44" s="6"/>
    </row>
    <row r="45" spans="1:104" s="1" customFormat="1" ht="15" x14ac:dyDescent="0.3">
      <c r="A45" s="11"/>
      <c r="B45" s="47"/>
      <c r="C45" s="6"/>
      <c r="D45" s="6"/>
      <c r="E45" s="12"/>
      <c r="F45" s="329"/>
      <c r="G45" s="329"/>
      <c r="H45" s="341"/>
      <c r="I45" s="341"/>
      <c r="J45" s="336"/>
      <c r="K45" s="341"/>
      <c r="L45" s="336"/>
      <c r="M45" s="341"/>
      <c r="N45" s="341"/>
      <c r="O45" s="336"/>
      <c r="P45" s="341"/>
      <c r="Q45" s="336"/>
      <c r="R45" s="336"/>
      <c r="S45" s="336"/>
      <c r="T45" s="341"/>
      <c r="U45" s="341"/>
      <c r="V45" s="341"/>
      <c r="W45" s="341"/>
      <c r="X45" s="342"/>
      <c r="Y45" s="331"/>
      <c r="Z45" s="343"/>
      <c r="AA45" s="344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45"/>
      <c r="AO45" s="336"/>
      <c r="AP45" s="336"/>
      <c r="AQ45" s="336"/>
      <c r="AR45" s="336"/>
      <c r="AS45" s="336"/>
      <c r="AT45" s="346"/>
      <c r="AU45" s="346"/>
      <c r="AV45" s="341"/>
      <c r="AW45" s="341"/>
      <c r="AX45" s="26"/>
      <c r="AY45" s="26"/>
      <c r="AZ45" s="26"/>
      <c r="BA45" s="26"/>
      <c r="BC45" s="6"/>
      <c r="BD45" s="6"/>
      <c r="BE45" s="6"/>
    </row>
    <row r="46" spans="1:104" s="1" customFormat="1" ht="15" x14ac:dyDescent="0.3">
      <c r="A46" s="11"/>
      <c r="B46" s="47"/>
      <c r="C46" s="6"/>
      <c r="D46" s="6"/>
      <c r="E46" s="12"/>
      <c r="F46" s="329"/>
      <c r="G46" s="329"/>
      <c r="H46" s="341"/>
      <c r="I46" s="341"/>
      <c r="J46" s="336"/>
      <c r="K46" s="341"/>
      <c r="L46" s="336"/>
      <c r="M46" s="341"/>
      <c r="N46" s="341"/>
      <c r="O46" s="336"/>
      <c r="P46" s="341"/>
      <c r="Q46" s="336"/>
      <c r="R46" s="336"/>
      <c r="S46" s="336"/>
      <c r="T46" s="341"/>
      <c r="U46" s="341"/>
      <c r="V46" s="341"/>
      <c r="W46" s="341"/>
      <c r="X46" s="342"/>
      <c r="Y46" s="331"/>
      <c r="Z46" s="343"/>
      <c r="AA46" s="344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45"/>
      <c r="AO46" s="336"/>
      <c r="AP46" s="336"/>
      <c r="AQ46" s="336"/>
      <c r="AR46" s="336"/>
      <c r="AS46" s="336"/>
      <c r="AT46" s="346"/>
      <c r="AU46" s="346"/>
      <c r="AV46" s="341"/>
      <c r="AW46" s="341"/>
      <c r="AX46" s="26"/>
      <c r="AY46" s="26"/>
      <c r="AZ46" s="26"/>
      <c r="BA46" s="26"/>
      <c r="BC46" s="6"/>
      <c r="BD46" s="6"/>
      <c r="BE46" s="6"/>
    </row>
    <row r="47" spans="1:104" s="1" customFormat="1" ht="15" x14ac:dyDescent="0.3">
      <c r="A47" s="11"/>
      <c r="B47" s="47"/>
      <c r="C47" s="6"/>
      <c r="D47" s="6"/>
      <c r="E47" s="12"/>
      <c r="F47" s="329"/>
      <c r="G47" s="329"/>
      <c r="H47" s="341"/>
      <c r="I47" s="341"/>
      <c r="J47" s="336"/>
      <c r="K47" s="341"/>
      <c r="L47" s="336"/>
      <c r="M47" s="341"/>
      <c r="N47" s="341"/>
      <c r="O47" s="336"/>
      <c r="P47" s="341"/>
      <c r="Q47" s="336"/>
      <c r="R47" s="336"/>
      <c r="S47" s="336"/>
      <c r="T47" s="341"/>
      <c r="U47" s="341"/>
      <c r="V47" s="341"/>
      <c r="W47" s="341"/>
      <c r="X47" s="342"/>
      <c r="Y47" s="331"/>
      <c r="Z47" s="343"/>
      <c r="AA47" s="344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45"/>
      <c r="AO47" s="336"/>
      <c r="AP47" s="336"/>
      <c r="AQ47" s="336"/>
      <c r="AR47" s="336"/>
      <c r="AS47" s="336"/>
      <c r="AT47" s="346"/>
      <c r="AU47" s="346"/>
      <c r="AV47" s="341"/>
      <c r="AW47" s="341"/>
      <c r="AX47" s="26"/>
      <c r="AY47" s="26"/>
      <c r="AZ47" s="26"/>
      <c r="BA47" s="26"/>
      <c r="BC47" s="6"/>
      <c r="BD47" s="6"/>
      <c r="BE47" s="6"/>
    </row>
    <row r="48" spans="1:104" s="1" customFormat="1" ht="15" x14ac:dyDescent="0.3">
      <c r="A48" s="11"/>
      <c r="B48" s="47"/>
      <c r="C48" s="6"/>
      <c r="D48" s="6"/>
      <c r="E48" s="12"/>
      <c r="F48" s="66"/>
      <c r="G48" s="66"/>
      <c r="H48" s="26"/>
      <c r="I48" s="26"/>
      <c r="J48" s="6"/>
      <c r="K48" s="26"/>
      <c r="L48" s="6"/>
      <c r="M48" s="26"/>
      <c r="N48" s="26"/>
      <c r="O48" s="6"/>
      <c r="P48" s="26"/>
      <c r="Q48" s="6"/>
      <c r="R48" s="6"/>
      <c r="S48" s="6"/>
      <c r="T48" s="26"/>
      <c r="U48" s="26"/>
      <c r="V48" s="26"/>
      <c r="W48" s="26"/>
      <c r="X48" s="48"/>
      <c r="Y48" s="7"/>
      <c r="Z48" s="8"/>
      <c r="AA48" s="174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13"/>
      <c r="AO48" s="6"/>
      <c r="AP48" s="6"/>
      <c r="AQ48" s="6"/>
      <c r="AR48" s="6"/>
      <c r="AS48" s="6"/>
      <c r="AT48" s="14"/>
      <c r="AU48" s="14"/>
      <c r="AV48" s="26"/>
      <c r="AW48" s="26"/>
      <c r="AX48" s="26"/>
      <c r="AY48" s="26"/>
      <c r="AZ48" s="26"/>
      <c r="BA48" s="26"/>
      <c r="BC48" s="6"/>
      <c r="BD48" s="6"/>
      <c r="BE48" s="6"/>
    </row>
    <row r="49" spans="1:57" s="1" customFormat="1" ht="15" x14ac:dyDescent="0.3">
      <c r="A49" s="11"/>
      <c r="B49" s="47"/>
      <c r="C49" s="6"/>
      <c r="D49" s="6"/>
      <c r="E49" s="12"/>
      <c r="F49" s="66"/>
      <c r="G49" s="66"/>
      <c r="H49" s="26"/>
      <c r="I49" s="26"/>
      <c r="J49" s="6"/>
      <c r="K49" s="26"/>
      <c r="L49" s="6"/>
      <c r="M49" s="26"/>
      <c r="N49" s="26"/>
      <c r="O49" s="6"/>
      <c r="P49" s="26"/>
      <c r="Q49" s="6"/>
      <c r="R49" s="6"/>
      <c r="S49" s="6"/>
      <c r="T49" s="26"/>
      <c r="U49" s="26"/>
      <c r="V49" s="26"/>
      <c r="W49" s="26"/>
      <c r="X49" s="48"/>
      <c r="Y49" s="7"/>
      <c r="Z49" s="8"/>
      <c r="AA49" s="174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13"/>
      <c r="AO49" s="6"/>
      <c r="AP49" s="6"/>
      <c r="AQ49" s="6"/>
      <c r="AR49" s="6"/>
      <c r="AS49" s="6"/>
      <c r="AT49" s="14"/>
      <c r="AU49" s="14"/>
      <c r="AV49" s="26"/>
      <c r="AW49" s="26"/>
      <c r="AX49" s="26"/>
      <c r="AY49" s="26"/>
      <c r="AZ49" s="26"/>
      <c r="BA49" s="26"/>
      <c r="BC49" s="6"/>
      <c r="BD49" s="6"/>
      <c r="BE49" s="6"/>
    </row>
    <row r="50" spans="1:57" s="1" customFormat="1" ht="15" x14ac:dyDescent="0.3">
      <c r="A50" s="11"/>
      <c r="B50" s="47"/>
      <c r="C50" s="6"/>
      <c r="D50" s="6"/>
      <c r="E50" s="12"/>
      <c r="F50" s="66"/>
      <c r="G50" s="66"/>
      <c r="H50" s="26"/>
      <c r="I50" s="26"/>
      <c r="J50" s="6"/>
      <c r="K50" s="26"/>
      <c r="L50" s="6"/>
      <c r="M50" s="26"/>
      <c r="N50" s="26"/>
      <c r="O50" s="6"/>
      <c r="P50" s="26"/>
      <c r="Q50" s="6"/>
      <c r="R50" s="6"/>
      <c r="S50" s="6"/>
      <c r="T50" s="26"/>
      <c r="U50" s="26"/>
      <c r="V50" s="26"/>
      <c r="W50" s="26"/>
      <c r="X50" s="48"/>
      <c r="Y50" s="7"/>
      <c r="Z50" s="8"/>
      <c r="AA50" s="174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13"/>
      <c r="AO50" s="6"/>
      <c r="AP50" s="6"/>
      <c r="AQ50" s="6"/>
      <c r="AR50" s="6"/>
      <c r="AS50" s="6"/>
      <c r="AT50" s="14"/>
      <c r="AU50" s="14"/>
      <c r="AV50" s="26"/>
      <c r="AW50" s="26"/>
      <c r="AX50" s="26"/>
      <c r="AY50" s="26"/>
      <c r="AZ50" s="26"/>
      <c r="BA50" s="26"/>
      <c r="BC50" s="6"/>
      <c r="BD50" s="6"/>
      <c r="BE50" s="6"/>
    </row>
    <row r="51" spans="1:57" s="1" customFormat="1" ht="15" x14ac:dyDescent="0.3">
      <c r="A51" s="11"/>
      <c r="B51" s="47"/>
      <c r="C51" s="6"/>
      <c r="D51" s="6"/>
      <c r="E51" s="12"/>
      <c r="F51" s="66"/>
      <c r="G51" s="66"/>
      <c r="H51" s="26"/>
      <c r="I51" s="26"/>
      <c r="J51" s="6"/>
      <c r="K51" s="26"/>
      <c r="L51" s="6"/>
      <c r="M51" s="26"/>
      <c r="N51" s="26"/>
      <c r="O51" s="6"/>
      <c r="P51" s="26"/>
      <c r="Q51" s="6"/>
      <c r="R51" s="6"/>
      <c r="S51" s="6"/>
      <c r="T51" s="26"/>
      <c r="U51" s="26"/>
      <c r="V51" s="26"/>
      <c r="W51" s="26"/>
      <c r="X51" s="48"/>
      <c r="Y51" s="7"/>
      <c r="Z51" s="8"/>
      <c r="AA51" s="174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3"/>
      <c r="AO51" s="6"/>
      <c r="AP51" s="6"/>
      <c r="AQ51" s="6"/>
      <c r="AR51" s="6"/>
      <c r="AS51" s="6"/>
      <c r="AT51" s="14"/>
      <c r="AU51" s="14"/>
      <c r="AV51" s="26"/>
      <c r="AW51" s="26"/>
      <c r="AX51" s="26"/>
      <c r="AY51" s="26"/>
      <c r="AZ51" s="26"/>
      <c r="BA51" s="26"/>
      <c r="BC51" s="6"/>
      <c r="BD51" s="6"/>
      <c r="BE51" s="6"/>
    </row>
    <row r="52" spans="1:57" s="1" customFormat="1" ht="15" x14ac:dyDescent="0.3">
      <c r="A52" s="11"/>
      <c r="B52" s="47"/>
      <c r="C52" s="6"/>
      <c r="D52" s="6"/>
      <c r="E52" s="12"/>
      <c r="F52" s="66"/>
      <c r="G52" s="66"/>
      <c r="H52" s="26"/>
      <c r="I52" s="26"/>
      <c r="J52" s="6"/>
      <c r="K52" s="26"/>
      <c r="L52" s="6"/>
      <c r="M52" s="26"/>
      <c r="N52" s="26"/>
      <c r="O52" s="6"/>
      <c r="P52" s="26"/>
      <c r="Q52" s="6"/>
      <c r="R52" s="6"/>
      <c r="S52" s="6"/>
      <c r="T52" s="26"/>
      <c r="U52" s="26"/>
      <c r="V52" s="26"/>
      <c r="W52" s="26"/>
      <c r="X52" s="48"/>
      <c r="Y52" s="7"/>
      <c r="Z52" s="8"/>
      <c r="AA52" s="174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13"/>
      <c r="AO52" s="6"/>
      <c r="AP52" s="6"/>
      <c r="AQ52" s="6"/>
      <c r="AR52" s="6"/>
      <c r="AS52" s="6"/>
      <c r="AT52" s="14"/>
      <c r="AU52" s="14"/>
      <c r="AV52" s="26"/>
      <c r="AW52" s="26"/>
      <c r="AX52" s="26"/>
      <c r="AY52" s="26"/>
      <c r="AZ52" s="26"/>
      <c r="BA52" s="26"/>
      <c r="BC52" s="6"/>
      <c r="BD52" s="6"/>
      <c r="BE52" s="6"/>
    </row>
    <row r="53" spans="1:57" s="1" customFormat="1" ht="15" x14ac:dyDescent="0.3">
      <c r="A53" s="11"/>
      <c r="B53" s="47"/>
      <c r="C53" s="6"/>
      <c r="D53" s="6"/>
      <c r="E53" s="12"/>
      <c r="F53" s="66"/>
      <c r="G53" s="66"/>
      <c r="H53" s="26"/>
      <c r="I53" s="26"/>
      <c r="J53" s="6"/>
      <c r="K53" s="26"/>
      <c r="L53" s="6"/>
      <c r="M53" s="26"/>
      <c r="N53" s="26"/>
      <c r="O53" s="6"/>
      <c r="P53" s="26"/>
      <c r="Q53" s="6"/>
      <c r="R53" s="6"/>
      <c r="S53" s="6"/>
      <c r="T53" s="26"/>
      <c r="U53" s="26"/>
      <c r="V53" s="26"/>
      <c r="W53" s="26"/>
      <c r="X53" s="48"/>
      <c r="Y53" s="7"/>
      <c r="Z53" s="8"/>
      <c r="AA53" s="174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13"/>
      <c r="AO53" s="6"/>
      <c r="AP53" s="6"/>
      <c r="AQ53" s="6"/>
      <c r="AR53" s="6"/>
      <c r="AS53" s="6"/>
      <c r="AT53" s="14"/>
      <c r="AU53" s="14"/>
      <c r="AV53" s="26"/>
      <c r="AW53" s="26"/>
      <c r="AX53" s="26"/>
      <c r="AY53" s="26"/>
      <c r="AZ53" s="26"/>
      <c r="BA53" s="26"/>
      <c r="BC53" s="6"/>
      <c r="BD53" s="6"/>
      <c r="BE53" s="6"/>
    </row>
    <row r="54" spans="1:57" s="1" customFormat="1" ht="15" x14ac:dyDescent="0.3">
      <c r="A54" s="11"/>
      <c r="B54" s="47"/>
      <c r="C54" s="6"/>
      <c r="D54" s="6"/>
      <c r="E54" s="12"/>
      <c r="F54" s="66"/>
      <c r="G54" s="66"/>
      <c r="H54" s="26"/>
      <c r="I54" s="26"/>
      <c r="J54" s="6"/>
      <c r="K54" s="26"/>
      <c r="L54" s="6"/>
      <c r="M54" s="26"/>
      <c r="N54" s="26"/>
      <c r="O54" s="6"/>
      <c r="P54" s="26"/>
      <c r="Q54" s="6"/>
      <c r="R54" s="6"/>
      <c r="S54" s="6"/>
      <c r="T54" s="26"/>
      <c r="U54" s="26"/>
      <c r="V54" s="26"/>
      <c r="W54" s="26"/>
      <c r="X54" s="48"/>
      <c r="Y54" s="7"/>
      <c r="Z54" s="8"/>
      <c r="AA54" s="174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13"/>
      <c r="AO54" s="6"/>
      <c r="AP54" s="6"/>
      <c r="AQ54" s="6"/>
      <c r="AR54" s="6"/>
      <c r="AS54" s="6"/>
      <c r="AT54" s="14"/>
      <c r="AU54" s="14"/>
      <c r="AV54" s="26"/>
      <c r="AW54" s="26"/>
      <c r="AX54" s="26"/>
      <c r="AY54" s="26"/>
      <c r="AZ54" s="26"/>
      <c r="BA54" s="26"/>
      <c r="BC54" s="6"/>
      <c r="BD54" s="6"/>
      <c r="BE54" s="6"/>
    </row>
    <row r="55" spans="1:57" s="1" customFormat="1" ht="15" x14ac:dyDescent="0.3">
      <c r="A55" s="11"/>
      <c r="B55" s="47"/>
      <c r="C55" s="6"/>
      <c r="D55" s="6"/>
      <c r="E55" s="12"/>
      <c r="F55" s="66"/>
      <c r="G55" s="66"/>
      <c r="H55" s="26"/>
      <c r="I55" s="26"/>
      <c r="J55" s="6"/>
      <c r="K55" s="26"/>
      <c r="L55" s="6"/>
      <c r="M55" s="26"/>
      <c r="N55" s="26"/>
      <c r="O55" s="6"/>
      <c r="P55" s="26"/>
      <c r="Q55" s="6"/>
      <c r="R55" s="6"/>
      <c r="S55" s="6"/>
      <c r="T55" s="26"/>
      <c r="U55" s="26"/>
      <c r="V55" s="26"/>
      <c r="W55" s="26"/>
      <c r="X55" s="48"/>
      <c r="Y55" s="7"/>
      <c r="Z55" s="8"/>
      <c r="AA55" s="174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13"/>
      <c r="AO55" s="6"/>
      <c r="AP55" s="6"/>
      <c r="AQ55" s="6"/>
      <c r="AR55" s="6"/>
      <c r="AS55" s="6"/>
      <c r="AT55" s="14"/>
      <c r="AU55" s="14"/>
      <c r="AV55" s="26"/>
      <c r="AW55" s="26"/>
      <c r="AX55" s="26"/>
      <c r="AY55" s="26"/>
      <c r="AZ55" s="26"/>
      <c r="BA55" s="26"/>
      <c r="BC55" s="6"/>
      <c r="BD55" s="6"/>
      <c r="BE55" s="6"/>
    </row>
    <row r="56" spans="1:57" s="1" customFormat="1" ht="15" x14ac:dyDescent="0.3">
      <c r="A56" s="11"/>
      <c r="B56" s="47"/>
      <c r="C56" s="6"/>
      <c r="D56" s="6"/>
      <c r="E56" s="12"/>
      <c r="F56" s="66"/>
      <c r="G56" s="66"/>
      <c r="H56" s="26"/>
      <c r="I56" s="26"/>
      <c r="J56" s="6"/>
      <c r="K56" s="26"/>
      <c r="L56" s="6"/>
      <c r="M56" s="26"/>
      <c r="N56" s="26"/>
      <c r="O56" s="6"/>
      <c r="P56" s="26"/>
      <c r="Q56" s="6"/>
      <c r="R56" s="6"/>
      <c r="S56" s="6"/>
      <c r="T56" s="26"/>
      <c r="U56" s="26"/>
      <c r="V56" s="26"/>
      <c r="W56" s="26"/>
      <c r="X56" s="48"/>
      <c r="Y56" s="7"/>
      <c r="Z56" s="8"/>
      <c r="AA56" s="174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13"/>
      <c r="AO56" s="6"/>
      <c r="AP56" s="6"/>
      <c r="AQ56" s="6"/>
      <c r="AR56" s="6"/>
      <c r="AS56" s="6"/>
      <c r="AT56" s="14"/>
      <c r="AU56" s="14"/>
      <c r="AV56" s="26"/>
      <c r="AW56" s="26"/>
      <c r="AX56" s="26"/>
      <c r="AY56" s="26"/>
      <c r="AZ56" s="26"/>
      <c r="BA56" s="26"/>
      <c r="BC56" s="6"/>
      <c r="BD56" s="6"/>
      <c r="BE56" s="6"/>
    </row>
    <row r="57" spans="1:57" s="1" customFormat="1" ht="15" x14ac:dyDescent="0.3">
      <c r="A57" s="11"/>
      <c r="B57" s="47"/>
      <c r="C57" s="6"/>
      <c r="D57" s="6"/>
      <c r="E57" s="12"/>
      <c r="F57" s="66"/>
      <c r="G57" s="66"/>
      <c r="H57" s="26"/>
      <c r="I57" s="26"/>
      <c r="J57" s="6"/>
      <c r="K57" s="26"/>
      <c r="L57" s="6"/>
      <c r="M57" s="26"/>
      <c r="N57" s="26"/>
      <c r="O57" s="6"/>
      <c r="P57" s="26"/>
      <c r="Q57" s="6"/>
      <c r="R57" s="6"/>
      <c r="S57" s="6"/>
      <c r="T57" s="26"/>
      <c r="U57" s="26"/>
      <c r="V57" s="26"/>
      <c r="W57" s="26"/>
      <c r="X57" s="48"/>
      <c r="Y57" s="7"/>
      <c r="Z57" s="8"/>
      <c r="AA57" s="174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13"/>
      <c r="AO57" s="6"/>
      <c r="AP57" s="6"/>
      <c r="AQ57" s="6"/>
      <c r="AR57" s="6"/>
      <c r="AS57" s="6"/>
      <c r="AT57" s="14"/>
      <c r="AU57" s="14"/>
      <c r="AV57" s="26"/>
      <c r="AW57" s="26"/>
      <c r="AX57" s="26"/>
      <c r="AY57" s="26"/>
      <c r="AZ57" s="26"/>
      <c r="BA57" s="26"/>
      <c r="BC57" s="6"/>
      <c r="BD57" s="6"/>
      <c r="BE57" s="6"/>
    </row>
    <row r="58" spans="1:57" s="1" customFormat="1" ht="15" x14ac:dyDescent="0.3">
      <c r="A58" s="11"/>
      <c r="B58" s="47"/>
      <c r="C58" s="6"/>
      <c r="D58" s="6"/>
      <c r="E58" s="12"/>
      <c r="F58" s="66"/>
      <c r="G58" s="66"/>
      <c r="H58" s="26"/>
      <c r="I58" s="26"/>
      <c r="J58" s="6"/>
      <c r="K58" s="26"/>
      <c r="L58" s="6"/>
      <c r="M58" s="26"/>
      <c r="N58" s="26"/>
      <c r="O58" s="6"/>
      <c r="P58" s="26"/>
      <c r="Q58" s="6"/>
      <c r="R58" s="6"/>
      <c r="S58" s="6"/>
      <c r="T58" s="26"/>
      <c r="U58" s="26"/>
      <c r="V58" s="26"/>
      <c r="W58" s="26"/>
      <c r="X58" s="48"/>
      <c r="Y58" s="7"/>
      <c r="Z58" s="8"/>
      <c r="AA58" s="174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13"/>
      <c r="AO58" s="6"/>
      <c r="AP58" s="6"/>
      <c r="AQ58" s="6"/>
      <c r="AR58" s="6"/>
      <c r="AS58" s="6"/>
      <c r="AT58" s="14"/>
      <c r="AU58" s="14"/>
      <c r="AV58" s="26"/>
      <c r="AW58" s="26"/>
      <c r="AX58" s="26"/>
      <c r="AY58" s="26"/>
      <c r="AZ58" s="26"/>
      <c r="BA58" s="26"/>
      <c r="BC58" s="6"/>
      <c r="BD58" s="6"/>
      <c r="BE58" s="6"/>
    </row>
    <row r="59" spans="1:57" s="1" customFormat="1" ht="15" x14ac:dyDescent="0.3">
      <c r="A59" s="11"/>
      <c r="B59" s="47"/>
      <c r="C59" s="6"/>
      <c r="D59" s="6"/>
      <c r="E59" s="12"/>
      <c r="F59" s="66"/>
      <c r="G59" s="66"/>
      <c r="H59" s="26"/>
      <c r="I59" s="26"/>
      <c r="J59" s="6"/>
      <c r="K59" s="26"/>
      <c r="L59" s="6"/>
      <c r="M59" s="26"/>
      <c r="N59" s="26"/>
      <c r="O59" s="6"/>
      <c r="P59" s="26"/>
      <c r="Q59" s="6"/>
      <c r="R59" s="6"/>
      <c r="S59" s="6"/>
      <c r="T59" s="26"/>
      <c r="U59" s="26"/>
      <c r="V59" s="26"/>
      <c r="W59" s="26"/>
      <c r="X59" s="48"/>
      <c r="Y59" s="7"/>
      <c r="Z59" s="8"/>
      <c r="AA59" s="174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13"/>
      <c r="AO59" s="6"/>
      <c r="AP59" s="6"/>
      <c r="AQ59" s="6"/>
      <c r="AR59" s="6"/>
      <c r="AS59" s="6"/>
      <c r="AT59" s="14"/>
      <c r="AU59" s="14"/>
      <c r="AV59" s="26"/>
      <c r="AW59" s="26"/>
      <c r="AX59" s="26"/>
      <c r="AY59" s="26"/>
      <c r="AZ59" s="26"/>
      <c r="BA59" s="26"/>
      <c r="BC59" s="6"/>
      <c r="BD59" s="6"/>
      <c r="BE59" s="6"/>
    </row>
    <row r="60" spans="1:57" s="1" customFormat="1" ht="15" x14ac:dyDescent="0.3">
      <c r="A60" s="11"/>
      <c r="B60" s="47"/>
      <c r="C60" s="6"/>
      <c r="D60" s="6"/>
      <c r="E60" s="12"/>
      <c r="F60" s="66"/>
      <c r="G60" s="66"/>
      <c r="H60" s="26"/>
      <c r="I60" s="26"/>
      <c r="J60" s="6"/>
      <c r="K60" s="26"/>
      <c r="L60" s="6"/>
      <c r="M60" s="26"/>
      <c r="N60" s="26"/>
      <c r="O60" s="6"/>
      <c r="P60" s="26"/>
      <c r="Q60" s="6"/>
      <c r="R60" s="6"/>
      <c r="S60" s="6"/>
      <c r="T60" s="26"/>
      <c r="U60" s="26"/>
      <c r="V60" s="26"/>
      <c r="W60" s="26"/>
      <c r="X60" s="48"/>
      <c r="Y60" s="7"/>
      <c r="Z60" s="8"/>
      <c r="AA60" s="174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13"/>
      <c r="AO60" s="6"/>
      <c r="AP60" s="6"/>
      <c r="AQ60" s="6"/>
      <c r="AR60" s="6"/>
      <c r="AS60" s="6"/>
      <c r="AT60" s="14"/>
      <c r="AU60" s="14"/>
      <c r="AV60" s="26"/>
      <c r="AW60" s="26"/>
      <c r="AX60" s="26"/>
      <c r="AY60" s="26"/>
      <c r="AZ60" s="26"/>
      <c r="BA60" s="26"/>
      <c r="BC60" s="6"/>
      <c r="BD60" s="6"/>
      <c r="BE60" s="6"/>
    </row>
    <row r="61" spans="1:57" s="1" customFormat="1" ht="15" x14ac:dyDescent="0.3">
      <c r="A61" s="11"/>
      <c r="B61" s="47"/>
      <c r="C61" s="6"/>
      <c r="D61" s="6"/>
      <c r="E61" s="12"/>
      <c r="F61" s="66"/>
      <c r="G61" s="66"/>
      <c r="H61" s="26"/>
      <c r="I61" s="26"/>
      <c r="J61" s="6"/>
      <c r="K61" s="26"/>
      <c r="L61" s="6"/>
      <c r="M61" s="26"/>
      <c r="N61" s="26"/>
      <c r="O61" s="6"/>
      <c r="P61" s="26"/>
      <c r="Q61" s="6"/>
      <c r="R61" s="6"/>
      <c r="S61" s="6"/>
      <c r="T61" s="26"/>
      <c r="U61" s="26"/>
      <c r="V61" s="26"/>
      <c r="W61" s="26"/>
      <c r="X61" s="48"/>
      <c r="Y61" s="7"/>
      <c r="Z61" s="8"/>
      <c r="AA61" s="174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13"/>
      <c r="AO61" s="6"/>
      <c r="AP61" s="6"/>
      <c r="AQ61" s="6"/>
      <c r="AR61" s="6"/>
      <c r="AS61" s="6"/>
      <c r="AT61" s="14"/>
      <c r="AU61" s="14"/>
      <c r="AV61" s="26"/>
      <c r="AW61" s="26"/>
      <c r="AX61" s="26"/>
      <c r="AY61" s="26"/>
      <c r="AZ61" s="26"/>
      <c r="BA61" s="26"/>
      <c r="BC61" s="6"/>
      <c r="BD61" s="6"/>
      <c r="BE61" s="6"/>
    </row>
    <row r="62" spans="1:57" s="1" customFormat="1" ht="15" x14ac:dyDescent="0.3">
      <c r="A62" s="11"/>
      <c r="B62" s="47"/>
      <c r="C62" s="6"/>
      <c r="D62" s="6"/>
      <c r="E62" s="12"/>
      <c r="F62" s="66"/>
      <c r="G62" s="66"/>
      <c r="H62" s="26"/>
      <c r="I62" s="26"/>
      <c r="J62" s="6"/>
      <c r="K62" s="26"/>
      <c r="L62" s="6"/>
      <c r="M62" s="26"/>
      <c r="N62" s="26"/>
      <c r="O62" s="6"/>
      <c r="P62" s="26"/>
      <c r="Q62" s="6"/>
      <c r="R62" s="6"/>
      <c r="S62" s="6"/>
      <c r="T62" s="26"/>
      <c r="U62" s="26"/>
      <c r="V62" s="26"/>
      <c r="W62" s="26"/>
      <c r="X62" s="48"/>
      <c r="Y62" s="7"/>
      <c r="Z62" s="8"/>
      <c r="AA62" s="174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13"/>
      <c r="AO62" s="6"/>
      <c r="AP62" s="6"/>
      <c r="AQ62" s="6"/>
      <c r="AR62" s="6"/>
      <c r="AS62" s="6"/>
      <c r="AT62" s="14"/>
      <c r="AU62" s="14"/>
      <c r="AV62" s="26"/>
      <c r="AW62" s="26"/>
      <c r="AX62" s="26"/>
      <c r="AY62" s="26"/>
      <c r="AZ62" s="26"/>
      <c r="BA62" s="26"/>
      <c r="BC62" s="6"/>
      <c r="BD62" s="6"/>
      <c r="BE62" s="6"/>
    </row>
    <row r="63" spans="1:57" s="1" customFormat="1" ht="15" x14ac:dyDescent="0.3">
      <c r="A63" s="11"/>
      <c r="B63" s="47"/>
      <c r="C63" s="6"/>
      <c r="D63" s="6"/>
      <c r="E63" s="12"/>
      <c r="F63" s="66"/>
      <c r="G63" s="66"/>
      <c r="H63" s="26"/>
      <c r="I63" s="26"/>
      <c r="J63" s="6"/>
      <c r="K63" s="26"/>
      <c r="L63" s="6"/>
      <c r="M63" s="26"/>
      <c r="N63" s="26"/>
      <c r="O63" s="6"/>
      <c r="P63" s="26"/>
      <c r="Q63" s="6"/>
      <c r="R63" s="6"/>
      <c r="S63" s="6"/>
      <c r="T63" s="26"/>
      <c r="U63" s="26"/>
      <c r="V63" s="26"/>
      <c r="W63" s="26"/>
      <c r="X63" s="48"/>
      <c r="Y63" s="7"/>
      <c r="Z63" s="8"/>
      <c r="AA63" s="174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13"/>
      <c r="AO63" s="6"/>
      <c r="AP63" s="6"/>
      <c r="AQ63" s="6"/>
      <c r="AR63" s="6"/>
      <c r="AS63" s="6"/>
      <c r="AT63" s="14"/>
      <c r="AU63" s="14"/>
      <c r="AV63" s="26"/>
      <c r="AW63" s="26"/>
      <c r="AX63" s="26"/>
      <c r="AY63" s="26"/>
      <c r="AZ63" s="26"/>
      <c r="BA63" s="26"/>
      <c r="BC63" s="6"/>
      <c r="BD63" s="6"/>
      <c r="BE63" s="6"/>
    </row>
    <row r="64" spans="1:57" s="1" customFormat="1" ht="15" x14ac:dyDescent="0.3">
      <c r="A64" s="11"/>
      <c r="B64" s="47"/>
      <c r="C64" s="6"/>
      <c r="D64" s="6"/>
      <c r="E64" s="12"/>
      <c r="F64" s="66"/>
      <c r="G64" s="66"/>
      <c r="H64" s="26"/>
      <c r="I64" s="26"/>
      <c r="J64" s="6"/>
      <c r="K64" s="26"/>
      <c r="L64" s="6"/>
      <c r="M64" s="26"/>
      <c r="N64" s="26"/>
      <c r="O64" s="6"/>
      <c r="P64" s="26"/>
      <c r="Q64" s="6"/>
      <c r="R64" s="6"/>
      <c r="S64" s="6"/>
      <c r="T64" s="26"/>
      <c r="U64" s="26"/>
      <c r="V64" s="26"/>
      <c r="W64" s="26"/>
      <c r="X64" s="48"/>
      <c r="Y64" s="7"/>
      <c r="Z64" s="8"/>
      <c r="AA64" s="174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13"/>
      <c r="AO64" s="6"/>
      <c r="AP64" s="6"/>
      <c r="AQ64" s="6"/>
      <c r="AR64" s="6"/>
      <c r="AS64" s="6"/>
      <c r="AT64" s="14"/>
      <c r="AU64" s="14"/>
      <c r="AV64" s="26"/>
      <c r="AW64" s="26"/>
      <c r="AX64" s="26"/>
      <c r="AY64" s="26"/>
      <c r="AZ64" s="26"/>
      <c r="BA64" s="26"/>
      <c r="BC64" s="6"/>
      <c r="BD64" s="6"/>
      <c r="BE64" s="6"/>
    </row>
    <row r="65" spans="1:57" s="1" customFormat="1" ht="15" x14ac:dyDescent="0.3">
      <c r="A65" s="11"/>
      <c r="B65" s="47"/>
      <c r="C65" s="6"/>
      <c r="D65" s="6"/>
      <c r="E65" s="12"/>
      <c r="F65" s="66"/>
      <c r="G65" s="66"/>
      <c r="H65" s="26"/>
      <c r="I65" s="26"/>
      <c r="J65" s="6"/>
      <c r="K65" s="26"/>
      <c r="L65" s="6"/>
      <c r="M65" s="26"/>
      <c r="N65" s="26"/>
      <c r="O65" s="6"/>
      <c r="P65" s="26"/>
      <c r="Q65" s="6"/>
      <c r="R65" s="6"/>
      <c r="S65" s="6"/>
      <c r="T65" s="26"/>
      <c r="U65" s="26"/>
      <c r="V65" s="26"/>
      <c r="W65" s="26"/>
      <c r="X65" s="48"/>
      <c r="Y65" s="7"/>
      <c r="Z65" s="8"/>
      <c r="AA65" s="174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13"/>
      <c r="AO65" s="6"/>
      <c r="AP65" s="6"/>
      <c r="AQ65" s="6"/>
      <c r="AR65" s="6"/>
      <c r="AS65" s="6"/>
      <c r="AT65" s="14"/>
      <c r="AU65" s="14"/>
      <c r="AV65" s="26"/>
      <c r="AW65" s="26"/>
      <c r="AX65" s="26"/>
      <c r="AY65" s="26"/>
      <c r="AZ65" s="26"/>
      <c r="BA65" s="26"/>
      <c r="BC65" s="6"/>
      <c r="BD65" s="6"/>
      <c r="BE65" s="6"/>
    </row>
    <row r="66" spans="1:57" s="1" customFormat="1" ht="15" x14ac:dyDescent="0.3">
      <c r="A66" s="11"/>
      <c r="B66" s="47"/>
      <c r="C66" s="6"/>
      <c r="D66" s="6"/>
      <c r="E66" s="12"/>
      <c r="F66" s="66"/>
      <c r="G66" s="66"/>
      <c r="H66" s="26"/>
      <c r="I66" s="26"/>
      <c r="J66" s="6"/>
      <c r="K66" s="26"/>
      <c r="L66" s="6"/>
      <c r="M66" s="26"/>
      <c r="N66" s="26"/>
      <c r="O66" s="6"/>
      <c r="P66" s="26"/>
      <c r="Q66" s="6"/>
      <c r="R66" s="6"/>
      <c r="S66" s="6"/>
      <c r="T66" s="26"/>
      <c r="U66" s="26"/>
      <c r="V66" s="26"/>
      <c r="W66" s="26"/>
      <c r="X66" s="48"/>
      <c r="Y66" s="7"/>
      <c r="Z66" s="8"/>
      <c r="AA66" s="174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13"/>
      <c r="AO66" s="6"/>
      <c r="AP66" s="6"/>
      <c r="AQ66" s="6"/>
      <c r="AR66" s="6"/>
      <c r="AS66" s="6"/>
      <c r="AT66" s="14"/>
      <c r="AU66" s="14"/>
      <c r="AV66" s="26"/>
      <c r="AW66" s="26"/>
      <c r="AX66" s="26"/>
      <c r="AY66" s="26"/>
      <c r="AZ66" s="26"/>
      <c r="BA66" s="26"/>
      <c r="BC66" s="6"/>
      <c r="BD66" s="6"/>
      <c r="BE66" s="6"/>
    </row>
    <row r="67" spans="1:57" s="1" customFormat="1" ht="15" x14ac:dyDescent="0.3">
      <c r="A67" s="11"/>
      <c r="B67" s="47"/>
      <c r="C67" s="6"/>
      <c r="D67" s="6"/>
      <c r="E67" s="12"/>
      <c r="F67" s="66"/>
      <c r="G67" s="66"/>
      <c r="H67" s="26"/>
      <c r="I67" s="26"/>
      <c r="J67" s="6"/>
      <c r="K67" s="26"/>
      <c r="L67" s="6"/>
      <c r="M67" s="26"/>
      <c r="N67" s="26"/>
      <c r="O67" s="6"/>
      <c r="P67" s="26"/>
      <c r="Q67" s="6"/>
      <c r="R67" s="6"/>
      <c r="S67" s="6"/>
      <c r="T67" s="26"/>
      <c r="U67" s="26"/>
      <c r="V67" s="26"/>
      <c r="W67" s="26"/>
      <c r="X67" s="48"/>
      <c r="Y67" s="7"/>
      <c r="Z67" s="8"/>
      <c r="AA67" s="174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13"/>
      <c r="AO67" s="6"/>
      <c r="AP67" s="6"/>
      <c r="AQ67" s="6"/>
      <c r="AR67" s="6"/>
      <c r="AS67" s="6"/>
      <c r="AT67" s="14"/>
      <c r="AU67" s="14"/>
      <c r="AV67" s="26"/>
      <c r="AW67" s="26"/>
      <c r="AX67" s="26"/>
      <c r="AY67" s="26"/>
      <c r="AZ67" s="26"/>
      <c r="BA67" s="26"/>
      <c r="BC67" s="6"/>
      <c r="BD67" s="6"/>
      <c r="BE67" s="6"/>
    </row>
    <row r="68" spans="1:57" s="1" customFormat="1" ht="15" x14ac:dyDescent="0.3">
      <c r="A68" s="11"/>
      <c r="B68" s="47"/>
      <c r="C68" s="6"/>
      <c r="D68" s="6"/>
      <c r="E68" s="12"/>
      <c r="F68" s="66"/>
      <c r="G68" s="66"/>
      <c r="H68" s="26"/>
      <c r="I68" s="26"/>
      <c r="J68" s="6"/>
      <c r="K68" s="26"/>
      <c r="L68" s="6"/>
      <c r="M68" s="26"/>
      <c r="N68" s="26"/>
      <c r="O68" s="6"/>
      <c r="P68" s="26"/>
      <c r="Q68" s="6"/>
      <c r="R68" s="6"/>
      <c r="S68" s="6"/>
      <c r="T68" s="26"/>
      <c r="U68" s="26"/>
      <c r="V68" s="26"/>
      <c r="W68" s="26"/>
      <c r="X68" s="48"/>
      <c r="Y68" s="7"/>
      <c r="Z68" s="8"/>
      <c r="AA68" s="174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13"/>
      <c r="AO68" s="6"/>
      <c r="AP68" s="6"/>
      <c r="AQ68" s="6"/>
      <c r="AR68" s="6"/>
      <c r="AS68" s="6"/>
      <c r="AT68" s="14"/>
      <c r="AU68" s="14"/>
      <c r="AV68" s="26"/>
      <c r="AW68" s="26"/>
      <c r="AX68" s="26"/>
      <c r="AY68" s="26"/>
      <c r="AZ68" s="26"/>
      <c r="BA68" s="26"/>
      <c r="BC68" s="6"/>
      <c r="BD68" s="6"/>
      <c r="BE68" s="6"/>
    </row>
    <row r="69" spans="1:57" s="1" customFormat="1" ht="15" x14ac:dyDescent="0.3">
      <c r="A69" s="11"/>
      <c r="B69" s="47"/>
      <c r="C69" s="6"/>
      <c r="D69" s="6"/>
      <c r="E69" s="12"/>
      <c r="F69" s="66"/>
      <c r="G69" s="66"/>
      <c r="H69" s="26"/>
      <c r="I69" s="26"/>
      <c r="J69" s="6"/>
      <c r="K69" s="26"/>
      <c r="L69" s="6"/>
      <c r="M69" s="26"/>
      <c r="N69" s="26"/>
      <c r="O69" s="6"/>
      <c r="P69" s="26"/>
      <c r="Q69" s="6"/>
      <c r="R69" s="6"/>
      <c r="S69" s="6"/>
      <c r="T69" s="26"/>
      <c r="U69" s="26"/>
      <c r="V69" s="26"/>
      <c r="W69" s="26"/>
      <c r="X69" s="48"/>
      <c r="Y69" s="7"/>
      <c r="Z69" s="8"/>
      <c r="AA69" s="174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13"/>
      <c r="AO69" s="6"/>
      <c r="AP69" s="6"/>
      <c r="AQ69" s="6"/>
      <c r="AR69" s="6"/>
      <c r="AS69" s="6"/>
      <c r="AT69" s="14"/>
      <c r="AU69" s="14"/>
      <c r="AV69" s="26"/>
      <c r="AW69" s="26"/>
      <c r="AX69" s="26"/>
      <c r="AY69" s="26"/>
      <c r="AZ69" s="26"/>
      <c r="BA69" s="26"/>
      <c r="BC69" s="6"/>
      <c r="BD69" s="6"/>
      <c r="BE69" s="6"/>
    </row>
    <row r="70" spans="1:57" s="1" customFormat="1" ht="15" x14ac:dyDescent="0.3">
      <c r="A70" s="11"/>
      <c r="B70" s="47"/>
      <c r="C70" s="6"/>
      <c r="D70" s="6"/>
      <c r="E70" s="12"/>
      <c r="F70" s="66"/>
      <c r="G70" s="66"/>
      <c r="H70" s="26"/>
      <c r="I70" s="26"/>
      <c r="J70" s="6"/>
      <c r="K70" s="26"/>
      <c r="L70" s="6"/>
      <c r="M70" s="26"/>
      <c r="N70" s="26"/>
      <c r="O70" s="6"/>
      <c r="P70" s="26"/>
      <c r="Q70" s="6"/>
      <c r="R70" s="6"/>
      <c r="S70" s="6"/>
      <c r="T70" s="26"/>
      <c r="U70" s="26"/>
      <c r="V70" s="26"/>
      <c r="W70" s="26"/>
      <c r="X70" s="48"/>
      <c r="Y70" s="7"/>
      <c r="Z70" s="8"/>
      <c r="AA70" s="174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13"/>
      <c r="AO70" s="6"/>
      <c r="AP70" s="6"/>
      <c r="AQ70" s="6"/>
      <c r="AR70" s="6"/>
      <c r="AS70" s="6"/>
      <c r="AT70" s="14"/>
      <c r="AU70" s="14"/>
      <c r="AV70" s="26"/>
      <c r="AW70" s="26"/>
      <c r="AX70" s="26"/>
      <c r="AY70" s="26"/>
      <c r="AZ70" s="26"/>
      <c r="BA70" s="26"/>
      <c r="BC70" s="6"/>
      <c r="BD70" s="6"/>
      <c r="BE70" s="6"/>
    </row>
    <row r="71" spans="1:57" s="1" customFormat="1" ht="15" x14ac:dyDescent="0.3">
      <c r="A71" s="11"/>
      <c r="B71" s="47"/>
      <c r="C71" s="6"/>
      <c r="D71" s="6"/>
      <c r="E71" s="12"/>
      <c r="F71" s="66"/>
      <c r="G71" s="66"/>
      <c r="H71" s="26"/>
      <c r="I71" s="26"/>
      <c r="J71" s="6"/>
      <c r="K71" s="26"/>
      <c r="L71" s="6"/>
      <c r="M71" s="26"/>
      <c r="N71" s="26"/>
      <c r="O71" s="6"/>
      <c r="P71" s="26"/>
      <c r="Q71" s="6"/>
      <c r="R71" s="6"/>
      <c r="S71" s="6"/>
      <c r="T71" s="26"/>
      <c r="U71" s="26"/>
      <c r="V71" s="26"/>
      <c r="W71" s="26"/>
      <c r="X71" s="48"/>
      <c r="Y71" s="7"/>
      <c r="Z71" s="8"/>
      <c r="AA71" s="174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13"/>
      <c r="AO71" s="6"/>
      <c r="AP71" s="6"/>
      <c r="AQ71" s="6"/>
      <c r="AR71" s="6"/>
      <c r="AS71" s="6"/>
      <c r="AT71" s="14"/>
      <c r="AU71" s="14"/>
      <c r="AV71" s="26"/>
      <c r="AW71" s="26"/>
      <c r="AX71" s="26"/>
      <c r="AY71" s="26"/>
      <c r="AZ71" s="26"/>
      <c r="BA71" s="26"/>
      <c r="BC71" s="6"/>
      <c r="BD71" s="6"/>
      <c r="BE71" s="6"/>
    </row>
    <row r="72" spans="1:57" s="1" customFormat="1" ht="15" x14ac:dyDescent="0.3">
      <c r="A72" s="11"/>
      <c r="B72" s="47"/>
      <c r="C72" s="6"/>
      <c r="D72" s="6"/>
      <c r="E72" s="12"/>
      <c r="F72" s="66"/>
      <c r="G72" s="66"/>
      <c r="H72" s="26"/>
      <c r="I72" s="26"/>
      <c r="J72" s="6"/>
      <c r="K72" s="26"/>
      <c r="L72" s="6"/>
      <c r="M72" s="26"/>
      <c r="N72" s="26"/>
      <c r="O72" s="6"/>
      <c r="P72" s="26"/>
      <c r="Q72" s="6"/>
      <c r="R72" s="6"/>
      <c r="S72" s="6"/>
      <c r="T72" s="26"/>
      <c r="U72" s="26"/>
      <c r="V72" s="26"/>
      <c r="W72" s="26"/>
      <c r="X72" s="48"/>
      <c r="Y72" s="7"/>
      <c r="Z72" s="8"/>
      <c r="AA72" s="174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13"/>
      <c r="AO72" s="6"/>
      <c r="AP72" s="6"/>
      <c r="AQ72" s="6"/>
      <c r="AR72" s="6"/>
      <c r="AS72" s="6"/>
      <c r="AT72" s="14"/>
      <c r="AU72" s="14"/>
      <c r="AV72" s="26"/>
      <c r="AW72" s="26"/>
      <c r="AX72" s="26"/>
      <c r="AY72" s="26"/>
      <c r="AZ72" s="26"/>
      <c r="BA72" s="26"/>
      <c r="BC72" s="6"/>
      <c r="BD72" s="6"/>
      <c r="BE72" s="6"/>
    </row>
    <row r="73" spans="1:57" s="1" customFormat="1" ht="15" x14ac:dyDescent="0.3">
      <c r="A73" s="11"/>
      <c r="B73" s="47"/>
      <c r="C73" s="6"/>
      <c r="D73" s="6"/>
      <c r="E73" s="12"/>
      <c r="F73" s="66"/>
      <c r="G73" s="66"/>
      <c r="H73" s="26"/>
      <c r="I73" s="26"/>
      <c r="J73" s="6"/>
      <c r="K73" s="26"/>
      <c r="L73" s="6"/>
      <c r="M73" s="26"/>
      <c r="N73" s="26"/>
      <c r="O73" s="6"/>
      <c r="P73" s="26"/>
      <c r="Q73" s="6"/>
      <c r="R73" s="6"/>
      <c r="S73" s="6"/>
      <c r="T73" s="26"/>
      <c r="U73" s="26"/>
      <c r="V73" s="26"/>
      <c r="W73" s="26"/>
      <c r="X73" s="48"/>
      <c r="Y73" s="7"/>
      <c r="Z73" s="8"/>
      <c r="AA73" s="174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13"/>
      <c r="AO73" s="6"/>
      <c r="AP73" s="6"/>
      <c r="AQ73" s="6"/>
      <c r="AR73" s="6"/>
      <c r="AS73" s="6"/>
      <c r="AT73" s="14"/>
      <c r="AU73" s="14"/>
      <c r="AV73" s="26"/>
      <c r="AW73" s="26"/>
      <c r="AX73" s="26"/>
      <c r="AY73" s="26"/>
      <c r="AZ73" s="26"/>
      <c r="BA73" s="26"/>
      <c r="BC73" s="6"/>
      <c r="BD73" s="6"/>
      <c r="BE73" s="6"/>
    </row>
    <row r="74" spans="1:57" s="1" customFormat="1" ht="15" x14ac:dyDescent="0.3">
      <c r="A74" s="11"/>
      <c r="B74" s="47"/>
      <c r="C74" s="6"/>
      <c r="D74" s="6"/>
      <c r="E74" s="12"/>
      <c r="F74" s="66"/>
      <c r="G74" s="66"/>
      <c r="H74" s="26"/>
      <c r="I74" s="26"/>
      <c r="J74" s="6"/>
      <c r="K74" s="26"/>
      <c r="L74" s="6"/>
      <c r="M74" s="26"/>
      <c r="N74" s="26"/>
      <c r="O74" s="6"/>
      <c r="P74" s="26"/>
      <c r="Q74" s="6"/>
      <c r="R74" s="6"/>
      <c r="S74" s="6"/>
      <c r="T74" s="26"/>
      <c r="U74" s="26"/>
      <c r="V74" s="26"/>
      <c r="W74" s="26"/>
      <c r="X74" s="48"/>
      <c r="Y74" s="7"/>
      <c r="Z74" s="8"/>
      <c r="AA74" s="174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13"/>
      <c r="AO74" s="6"/>
      <c r="AP74" s="6"/>
      <c r="AQ74" s="6"/>
      <c r="AR74" s="6"/>
      <c r="AS74" s="6"/>
      <c r="AT74" s="14"/>
      <c r="AU74" s="14"/>
      <c r="AV74" s="26"/>
      <c r="AW74" s="26"/>
      <c r="AX74" s="26"/>
      <c r="AY74" s="26"/>
      <c r="AZ74" s="26"/>
      <c r="BA74" s="26"/>
      <c r="BC74" s="6"/>
      <c r="BD74" s="6"/>
      <c r="BE74" s="6"/>
    </row>
    <row r="75" spans="1:57" s="1" customFormat="1" ht="15" x14ac:dyDescent="0.3">
      <c r="A75" s="11"/>
      <c r="B75" s="47"/>
      <c r="C75" s="6"/>
      <c r="D75" s="6"/>
      <c r="E75" s="12"/>
      <c r="F75" s="66"/>
      <c r="G75" s="66"/>
      <c r="H75" s="26"/>
      <c r="I75" s="26"/>
      <c r="J75" s="6"/>
      <c r="K75" s="26"/>
      <c r="L75" s="6"/>
      <c r="M75" s="26"/>
      <c r="N75" s="26"/>
      <c r="O75" s="6"/>
      <c r="P75" s="26"/>
      <c r="Q75" s="6"/>
      <c r="R75" s="6"/>
      <c r="S75" s="6"/>
      <c r="T75" s="26"/>
      <c r="U75" s="26"/>
      <c r="V75" s="26"/>
      <c r="W75" s="26"/>
      <c r="X75" s="48"/>
      <c r="Y75" s="7"/>
      <c r="Z75" s="8"/>
      <c r="AA75" s="174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13"/>
      <c r="AO75" s="6"/>
      <c r="AP75" s="6"/>
      <c r="AQ75" s="6"/>
      <c r="AR75" s="6"/>
      <c r="AS75" s="6"/>
      <c r="AT75" s="14"/>
      <c r="AU75" s="14"/>
      <c r="AV75" s="26"/>
      <c r="AW75" s="26"/>
      <c r="AX75" s="26"/>
      <c r="AY75" s="26"/>
      <c r="AZ75" s="26"/>
      <c r="BA75" s="26"/>
      <c r="BC75" s="6"/>
      <c r="BD75" s="6"/>
      <c r="BE75" s="6"/>
    </row>
    <row r="76" spans="1:57" s="1" customFormat="1" ht="15" x14ac:dyDescent="0.3">
      <c r="A76" s="11"/>
      <c r="B76" s="47"/>
      <c r="C76" s="6"/>
      <c r="D76" s="6"/>
      <c r="E76" s="12"/>
      <c r="F76" s="66"/>
      <c r="G76" s="66"/>
      <c r="H76" s="26"/>
      <c r="I76" s="26"/>
      <c r="J76" s="6"/>
      <c r="K76" s="26"/>
      <c r="L76" s="6"/>
      <c r="M76" s="26"/>
      <c r="N76" s="26"/>
      <c r="O76" s="6"/>
      <c r="P76" s="26"/>
      <c r="Q76" s="6"/>
      <c r="R76" s="6"/>
      <c r="S76" s="6"/>
      <c r="T76" s="26"/>
      <c r="U76" s="26"/>
      <c r="V76" s="26"/>
      <c r="W76" s="26"/>
      <c r="X76" s="48"/>
      <c r="Y76" s="7"/>
      <c r="Z76" s="8"/>
      <c r="AA76" s="174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13"/>
      <c r="AO76" s="6"/>
      <c r="AP76" s="6"/>
      <c r="AQ76" s="6"/>
      <c r="AR76" s="6"/>
      <c r="AS76" s="6"/>
      <c r="AT76" s="14"/>
      <c r="AU76" s="14"/>
      <c r="AV76" s="26"/>
      <c r="AW76" s="26"/>
      <c r="AX76" s="26"/>
      <c r="AY76" s="26"/>
      <c r="AZ76" s="26"/>
      <c r="BA76" s="26"/>
      <c r="BC76" s="6"/>
      <c r="BD76" s="6"/>
      <c r="BE76" s="6"/>
    </row>
    <row r="77" spans="1:57" s="1" customFormat="1" ht="15" x14ac:dyDescent="0.3">
      <c r="A77" s="11"/>
      <c r="B77" s="47"/>
      <c r="C77" s="6"/>
      <c r="D77" s="6"/>
      <c r="E77" s="12"/>
      <c r="F77" s="66"/>
      <c r="G77" s="66"/>
      <c r="H77" s="26"/>
      <c r="I77" s="26"/>
      <c r="J77" s="6"/>
      <c r="K77" s="26"/>
      <c r="L77" s="6"/>
      <c r="M77" s="26"/>
      <c r="N77" s="26"/>
      <c r="O77" s="6"/>
      <c r="P77" s="26"/>
      <c r="Q77" s="6"/>
      <c r="R77" s="6"/>
      <c r="S77" s="6"/>
      <c r="T77" s="26"/>
      <c r="U77" s="26"/>
      <c r="V77" s="26"/>
      <c r="W77" s="26"/>
      <c r="X77" s="48"/>
      <c r="Y77" s="7"/>
      <c r="Z77" s="8"/>
      <c r="AA77" s="174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13"/>
      <c r="AO77" s="6"/>
      <c r="AP77" s="6"/>
      <c r="AQ77" s="6"/>
      <c r="AR77" s="6"/>
      <c r="AS77" s="6"/>
      <c r="AT77" s="14"/>
      <c r="AU77" s="14"/>
      <c r="AV77" s="26"/>
      <c r="AW77" s="26"/>
      <c r="AX77" s="26"/>
      <c r="AY77" s="26"/>
      <c r="AZ77" s="26"/>
      <c r="BA77" s="26"/>
      <c r="BC77" s="6"/>
      <c r="BD77" s="6"/>
      <c r="BE77" s="6"/>
    </row>
    <row r="78" spans="1:57" s="1" customFormat="1" ht="15" x14ac:dyDescent="0.3">
      <c r="A78" s="11"/>
      <c r="B78" s="47"/>
      <c r="C78" s="6"/>
      <c r="D78" s="6"/>
      <c r="E78" s="12"/>
      <c r="F78" s="66"/>
      <c r="G78" s="66"/>
      <c r="H78" s="26"/>
      <c r="I78" s="26"/>
      <c r="J78" s="6"/>
      <c r="K78" s="26"/>
      <c r="L78" s="6"/>
      <c r="M78" s="26"/>
      <c r="N78" s="26"/>
      <c r="O78" s="6"/>
      <c r="P78" s="26"/>
      <c r="Q78" s="6"/>
      <c r="R78" s="6"/>
      <c r="S78" s="6"/>
      <c r="T78" s="26"/>
      <c r="U78" s="26"/>
      <c r="V78" s="26"/>
      <c r="W78" s="26"/>
      <c r="X78" s="48"/>
      <c r="Y78" s="7"/>
      <c r="Z78" s="8"/>
      <c r="AA78" s="174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13"/>
      <c r="AO78" s="6"/>
      <c r="AP78" s="6"/>
      <c r="AQ78" s="6"/>
      <c r="AR78" s="6"/>
      <c r="AS78" s="6"/>
      <c r="AT78" s="14"/>
      <c r="AU78" s="14"/>
      <c r="AV78" s="26"/>
      <c r="AW78" s="26"/>
      <c r="AX78" s="26"/>
      <c r="AY78" s="26"/>
      <c r="AZ78" s="26"/>
      <c r="BA78" s="26"/>
      <c r="BC78" s="6"/>
      <c r="BD78" s="6"/>
      <c r="BE78" s="6"/>
    </row>
    <row r="79" spans="1:57" s="1" customFormat="1" ht="15" x14ac:dyDescent="0.3">
      <c r="A79" s="11"/>
      <c r="B79" s="47"/>
      <c r="C79" s="6"/>
      <c r="D79" s="6"/>
      <c r="E79" s="12"/>
      <c r="F79" s="66"/>
      <c r="G79" s="66"/>
      <c r="H79" s="26"/>
      <c r="I79" s="26"/>
      <c r="J79" s="6"/>
      <c r="K79" s="26"/>
      <c r="L79" s="6"/>
      <c r="M79" s="26"/>
      <c r="N79" s="26"/>
      <c r="O79" s="6"/>
      <c r="P79" s="26"/>
      <c r="Q79" s="6"/>
      <c r="R79" s="6"/>
      <c r="S79" s="6"/>
      <c r="T79" s="26"/>
      <c r="U79" s="26"/>
      <c r="V79" s="26"/>
      <c r="W79" s="26"/>
      <c r="X79" s="48"/>
      <c r="Y79" s="7"/>
      <c r="Z79" s="8"/>
      <c r="AA79" s="174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13"/>
      <c r="AO79" s="6"/>
      <c r="AP79" s="6"/>
      <c r="AQ79" s="6"/>
      <c r="AR79" s="6"/>
      <c r="AS79" s="6"/>
      <c r="AT79" s="14"/>
      <c r="AU79" s="14"/>
      <c r="AV79" s="26"/>
      <c r="AW79" s="26"/>
      <c r="AX79" s="26"/>
      <c r="AY79" s="26"/>
      <c r="AZ79" s="26"/>
      <c r="BA79" s="26"/>
      <c r="BC79" s="6"/>
      <c r="BD79" s="6"/>
      <c r="BE79" s="6"/>
    </row>
    <row r="80" spans="1:57" s="1" customFormat="1" ht="15" x14ac:dyDescent="0.3">
      <c r="A80" s="11"/>
      <c r="B80" s="47"/>
      <c r="C80" s="6"/>
      <c r="D80" s="6"/>
      <c r="E80" s="12"/>
      <c r="F80" s="66"/>
      <c r="G80" s="66"/>
      <c r="H80" s="26"/>
      <c r="I80" s="26"/>
      <c r="J80" s="6"/>
      <c r="K80" s="26"/>
      <c r="L80" s="6"/>
      <c r="M80" s="26"/>
      <c r="N80" s="26"/>
      <c r="O80" s="6"/>
      <c r="P80" s="26"/>
      <c r="Q80" s="6"/>
      <c r="R80" s="6"/>
      <c r="S80" s="6"/>
      <c r="T80" s="26"/>
      <c r="U80" s="26"/>
      <c r="V80" s="26"/>
      <c r="W80" s="26"/>
      <c r="X80" s="48"/>
      <c r="Y80" s="7"/>
      <c r="Z80" s="8"/>
      <c r="AA80" s="174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13"/>
      <c r="AO80" s="6"/>
      <c r="AP80" s="6"/>
      <c r="AQ80" s="6"/>
      <c r="AR80" s="6"/>
      <c r="AS80" s="6"/>
      <c r="AT80" s="14"/>
      <c r="AU80" s="14"/>
      <c r="AV80" s="26"/>
      <c r="AW80" s="26"/>
      <c r="AX80" s="26"/>
      <c r="AY80" s="26"/>
      <c r="AZ80" s="26"/>
      <c r="BA80" s="26"/>
      <c r="BC80" s="6"/>
      <c r="BD80" s="6"/>
      <c r="BE80" s="6"/>
    </row>
    <row r="81" spans="1:57" s="1" customFormat="1" ht="15" x14ac:dyDescent="0.3">
      <c r="A81" s="11"/>
      <c r="B81" s="47"/>
      <c r="C81" s="6"/>
      <c r="D81" s="6"/>
      <c r="E81" s="12"/>
      <c r="F81" s="66"/>
      <c r="G81" s="66"/>
      <c r="H81" s="26"/>
      <c r="I81" s="26"/>
      <c r="J81" s="6"/>
      <c r="K81" s="26"/>
      <c r="L81" s="6"/>
      <c r="M81" s="26"/>
      <c r="N81" s="26"/>
      <c r="O81" s="6"/>
      <c r="P81" s="26"/>
      <c r="Q81" s="6"/>
      <c r="R81" s="6"/>
      <c r="S81" s="6"/>
      <c r="T81" s="26"/>
      <c r="U81" s="26"/>
      <c r="V81" s="26"/>
      <c r="W81" s="26"/>
      <c r="X81" s="48"/>
      <c r="Y81" s="7"/>
      <c r="Z81" s="8"/>
      <c r="AA81" s="174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13"/>
      <c r="AO81" s="6"/>
      <c r="AP81" s="6"/>
      <c r="AQ81" s="6"/>
      <c r="AR81" s="6"/>
      <c r="AS81" s="6"/>
      <c r="AT81" s="14"/>
      <c r="AU81" s="14"/>
      <c r="AV81" s="26"/>
      <c r="AW81" s="26"/>
      <c r="AX81" s="26"/>
      <c r="AY81" s="26"/>
      <c r="AZ81" s="26"/>
      <c r="BA81" s="26"/>
      <c r="BC81" s="6"/>
      <c r="BD81" s="6"/>
      <c r="BE81" s="6"/>
    </row>
    <row r="82" spans="1:57" s="1" customFormat="1" ht="15" x14ac:dyDescent="0.3">
      <c r="A82" s="11"/>
      <c r="B82" s="47"/>
      <c r="C82" s="6"/>
      <c r="D82" s="6"/>
      <c r="E82" s="12"/>
      <c r="F82" s="66"/>
      <c r="G82" s="66"/>
      <c r="H82" s="26"/>
      <c r="I82" s="26"/>
      <c r="J82" s="6"/>
      <c r="K82" s="26"/>
      <c r="L82" s="6"/>
      <c r="M82" s="26"/>
      <c r="N82" s="26"/>
      <c r="O82" s="6"/>
      <c r="P82" s="26"/>
      <c r="Q82" s="6"/>
      <c r="R82" s="6"/>
      <c r="S82" s="6"/>
      <c r="T82" s="26"/>
      <c r="U82" s="26"/>
      <c r="V82" s="26"/>
      <c r="W82" s="26"/>
      <c r="X82" s="48"/>
      <c r="Y82" s="7"/>
      <c r="Z82" s="8"/>
      <c r="AA82" s="174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13"/>
      <c r="AO82" s="6"/>
      <c r="AP82" s="6"/>
      <c r="AQ82" s="6"/>
      <c r="AR82" s="6"/>
      <c r="AS82" s="6"/>
      <c r="AT82" s="14"/>
      <c r="AU82" s="14"/>
      <c r="AV82" s="26"/>
      <c r="AW82" s="26"/>
      <c r="AX82" s="26"/>
      <c r="AY82" s="26"/>
      <c r="AZ82" s="26"/>
      <c r="BA82" s="26"/>
      <c r="BC82" s="6"/>
      <c r="BD82" s="6"/>
      <c r="BE82" s="6"/>
    </row>
    <row r="83" spans="1:57" s="1" customFormat="1" ht="15" x14ac:dyDescent="0.3">
      <c r="A83" s="11"/>
      <c r="B83" s="47"/>
      <c r="C83" s="6"/>
      <c r="D83" s="6"/>
      <c r="E83" s="12"/>
      <c r="F83" s="66"/>
      <c r="G83" s="66"/>
      <c r="H83" s="26"/>
      <c r="I83" s="26"/>
      <c r="J83" s="6"/>
      <c r="K83" s="26"/>
      <c r="L83" s="6"/>
      <c r="M83" s="26"/>
      <c r="N83" s="26"/>
      <c r="O83" s="6"/>
      <c r="P83" s="26"/>
      <c r="Q83" s="6"/>
      <c r="R83" s="6"/>
      <c r="S83" s="6"/>
      <c r="T83" s="26"/>
      <c r="U83" s="26"/>
      <c r="V83" s="26"/>
      <c r="W83" s="26"/>
      <c r="X83" s="48"/>
      <c r="Y83" s="7"/>
      <c r="Z83" s="8"/>
      <c r="AA83" s="174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13"/>
      <c r="AO83" s="6"/>
      <c r="AP83" s="6"/>
      <c r="AQ83" s="6"/>
      <c r="AR83" s="6"/>
      <c r="AS83" s="6"/>
      <c r="AT83" s="14"/>
      <c r="AU83" s="14"/>
      <c r="AV83" s="26"/>
      <c r="AW83" s="26"/>
      <c r="AX83" s="26"/>
      <c r="AY83" s="26"/>
      <c r="AZ83" s="26"/>
      <c r="BA83" s="26"/>
      <c r="BC83" s="6"/>
      <c r="BD83" s="6"/>
      <c r="BE83" s="6"/>
    </row>
    <row r="84" spans="1:57" s="1" customFormat="1" ht="15" x14ac:dyDescent="0.3">
      <c r="A84" s="11"/>
      <c r="B84" s="47"/>
      <c r="C84" s="6"/>
      <c r="D84" s="6"/>
      <c r="E84" s="12"/>
      <c r="F84" s="66"/>
      <c r="G84" s="66"/>
      <c r="H84" s="26"/>
      <c r="I84" s="26"/>
      <c r="J84" s="6"/>
      <c r="K84" s="26"/>
      <c r="L84" s="6"/>
      <c r="M84" s="26"/>
      <c r="N84" s="26"/>
      <c r="O84" s="6"/>
      <c r="P84" s="26"/>
      <c r="Q84" s="6"/>
      <c r="R84" s="6"/>
      <c r="S84" s="6"/>
      <c r="T84" s="26"/>
      <c r="U84" s="26"/>
      <c r="V84" s="26"/>
      <c r="W84" s="26"/>
      <c r="X84" s="48"/>
      <c r="Y84" s="7"/>
      <c r="Z84" s="8"/>
      <c r="AA84" s="174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13"/>
      <c r="AO84" s="6"/>
      <c r="AP84" s="6"/>
      <c r="AQ84" s="6"/>
      <c r="AR84" s="6"/>
      <c r="AS84" s="6"/>
      <c r="AT84" s="14"/>
      <c r="AU84" s="14"/>
      <c r="AV84" s="26"/>
      <c r="AW84" s="26"/>
      <c r="AX84" s="26"/>
      <c r="AY84" s="26"/>
      <c r="AZ84" s="26"/>
      <c r="BA84" s="26"/>
      <c r="BC84" s="6"/>
      <c r="BD84" s="6"/>
      <c r="BE84" s="6"/>
    </row>
    <row r="85" spans="1:57" s="1" customFormat="1" ht="15" x14ac:dyDescent="0.3">
      <c r="A85" s="11"/>
      <c r="B85" s="47"/>
      <c r="C85" s="6"/>
      <c r="D85" s="6"/>
      <c r="E85" s="12"/>
      <c r="F85" s="66"/>
      <c r="G85" s="66"/>
      <c r="H85" s="26"/>
      <c r="I85" s="26"/>
      <c r="J85" s="6"/>
      <c r="K85" s="26"/>
      <c r="L85" s="6"/>
      <c r="M85" s="26"/>
      <c r="N85" s="26"/>
      <c r="O85" s="6"/>
      <c r="P85" s="26"/>
      <c r="Q85" s="6"/>
      <c r="R85" s="6"/>
      <c r="S85" s="6"/>
      <c r="T85" s="26"/>
      <c r="U85" s="26"/>
      <c r="V85" s="26"/>
      <c r="W85" s="26"/>
      <c r="X85" s="48"/>
      <c r="Y85" s="7"/>
      <c r="Z85" s="8"/>
      <c r="AA85" s="174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13"/>
      <c r="AO85" s="6"/>
      <c r="AP85" s="6"/>
      <c r="AQ85" s="6"/>
      <c r="AR85" s="6"/>
      <c r="AS85" s="6"/>
      <c r="AT85" s="14"/>
      <c r="AU85" s="14"/>
      <c r="AV85" s="26"/>
      <c r="AW85" s="26"/>
      <c r="AX85" s="26"/>
      <c r="AY85" s="26"/>
      <c r="AZ85" s="26"/>
      <c r="BA85" s="26"/>
      <c r="BC85" s="6"/>
      <c r="BD85" s="6"/>
      <c r="BE85" s="6"/>
    </row>
    <row r="86" spans="1:57" s="1" customFormat="1" ht="15" x14ac:dyDescent="0.3">
      <c r="A86" s="11"/>
      <c r="B86" s="47"/>
      <c r="C86" s="6"/>
      <c r="D86" s="6"/>
      <c r="E86" s="12"/>
      <c r="F86" s="66"/>
      <c r="G86" s="66"/>
      <c r="H86" s="26"/>
      <c r="I86" s="26"/>
      <c r="J86" s="6"/>
      <c r="K86" s="26"/>
      <c r="L86" s="6"/>
      <c r="M86" s="26"/>
      <c r="N86" s="26"/>
      <c r="O86" s="6"/>
      <c r="P86" s="26"/>
      <c r="Q86" s="6"/>
      <c r="R86" s="6"/>
      <c r="S86" s="6"/>
      <c r="T86" s="26"/>
      <c r="U86" s="26"/>
      <c r="V86" s="26"/>
      <c r="W86" s="26"/>
      <c r="X86" s="48"/>
      <c r="Y86" s="7"/>
      <c r="Z86" s="8"/>
      <c r="AA86" s="174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13"/>
      <c r="AO86" s="6"/>
      <c r="AP86" s="6"/>
      <c r="AQ86" s="6"/>
      <c r="AR86" s="6"/>
      <c r="AS86" s="6"/>
      <c r="AT86" s="14"/>
      <c r="AU86" s="14"/>
      <c r="AV86" s="26"/>
      <c r="AW86" s="26"/>
      <c r="AX86" s="26"/>
      <c r="AY86" s="26"/>
      <c r="AZ86" s="26"/>
      <c r="BA86" s="26"/>
      <c r="BC86" s="6"/>
      <c r="BD86" s="6"/>
      <c r="BE86" s="6"/>
    </row>
    <row r="87" spans="1:57" s="1" customFormat="1" ht="15" x14ac:dyDescent="0.3">
      <c r="A87" s="11"/>
      <c r="B87" s="47"/>
      <c r="C87" s="6"/>
      <c r="D87" s="6"/>
      <c r="E87" s="12"/>
      <c r="F87" s="66"/>
      <c r="G87" s="66"/>
      <c r="H87" s="26"/>
      <c r="I87" s="26"/>
      <c r="J87" s="6"/>
      <c r="K87" s="26"/>
      <c r="L87" s="6"/>
      <c r="M87" s="26"/>
      <c r="N87" s="26"/>
      <c r="O87" s="6"/>
      <c r="P87" s="26"/>
      <c r="Q87" s="6"/>
      <c r="R87" s="6"/>
      <c r="S87" s="6"/>
      <c r="T87" s="26"/>
      <c r="U87" s="26"/>
      <c r="V87" s="26"/>
      <c r="W87" s="26"/>
      <c r="X87" s="48"/>
      <c r="Y87" s="7"/>
      <c r="Z87" s="8"/>
      <c r="AA87" s="174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13"/>
      <c r="AO87" s="6"/>
      <c r="AP87" s="6"/>
      <c r="AQ87" s="6"/>
      <c r="AR87" s="6"/>
      <c r="AS87" s="6"/>
      <c r="AT87" s="14"/>
      <c r="AU87" s="14"/>
      <c r="AV87" s="26"/>
      <c r="AW87" s="26"/>
      <c r="AX87" s="26"/>
      <c r="AY87" s="26"/>
      <c r="AZ87" s="26"/>
      <c r="BA87" s="26"/>
      <c r="BC87" s="6"/>
      <c r="BD87" s="6"/>
      <c r="BE87" s="6"/>
    </row>
    <row r="88" spans="1:57" s="1" customFormat="1" ht="15" x14ac:dyDescent="0.3">
      <c r="A88" s="11"/>
      <c r="B88" s="47"/>
      <c r="C88" s="6"/>
      <c r="D88" s="6"/>
      <c r="E88" s="12"/>
      <c r="F88" s="66"/>
      <c r="G88" s="66"/>
      <c r="H88" s="26"/>
      <c r="I88" s="26"/>
      <c r="J88" s="6"/>
      <c r="K88" s="26"/>
      <c r="L88" s="6"/>
      <c r="M88" s="26"/>
      <c r="N88" s="26"/>
      <c r="O88" s="6"/>
      <c r="P88" s="26"/>
      <c r="Q88" s="6"/>
      <c r="R88" s="6"/>
      <c r="S88" s="6"/>
      <c r="T88" s="26"/>
      <c r="U88" s="26"/>
      <c r="V88" s="26"/>
      <c r="W88" s="26"/>
      <c r="X88" s="48"/>
      <c r="Y88" s="7"/>
      <c r="Z88" s="8"/>
      <c r="AA88" s="174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13"/>
      <c r="AO88" s="6"/>
      <c r="AP88" s="6"/>
      <c r="AQ88" s="6"/>
      <c r="AR88" s="6"/>
      <c r="AS88" s="6"/>
      <c r="AT88" s="14"/>
      <c r="AU88" s="14"/>
      <c r="AV88" s="26"/>
      <c r="AW88" s="26"/>
      <c r="AX88" s="26"/>
      <c r="AY88" s="26"/>
      <c r="AZ88" s="26"/>
      <c r="BA88" s="26"/>
      <c r="BC88" s="6"/>
      <c r="BD88" s="6"/>
      <c r="BE88" s="6"/>
    </row>
    <row r="89" spans="1:57" s="1" customFormat="1" ht="15" x14ac:dyDescent="0.3">
      <c r="A89" s="11"/>
      <c r="B89" s="47"/>
      <c r="C89" s="6"/>
      <c r="D89" s="6"/>
      <c r="E89" s="12"/>
      <c r="F89" s="66"/>
      <c r="G89" s="66"/>
      <c r="H89" s="26"/>
      <c r="I89" s="26"/>
      <c r="J89" s="6"/>
      <c r="K89" s="26"/>
      <c r="L89" s="6"/>
      <c r="M89" s="26"/>
      <c r="N89" s="26"/>
      <c r="O89" s="6"/>
      <c r="P89" s="26"/>
      <c r="Q89" s="6"/>
      <c r="R89" s="6"/>
      <c r="S89" s="6"/>
      <c r="T89" s="26"/>
      <c r="U89" s="26"/>
      <c r="V89" s="26"/>
      <c r="W89" s="26"/>
      <c r="X89" s="48"/>
      <c r="Y89" s="7"/>
      <c r="Z89" s="8"/>
      <c r="AA89" s="174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13"/>
      <c r="AO89" s="6"/>
      <c r="AP89" s="6"/>
      <c r="AQ89" s="6"/>
      <c r="AR89" s="6"/>
      <c r="AS89" s="6"/>
      <c r="AT89" s="14"/>
      <c r="AU89" s="14"/>
      <c r="AV89" s="26"/>
      <c r="AW89" s="26"/>
      <c r="AX89" s="26"/>
      <c r="AY89" s="26"/>
      <c r="AZ89" s="26"/>
      <c r="BA89" s="26"/>
      <c r="BC89" s="6"/>
      <c r="BD89" s="6"/>
      <c r="BE89" s="6"/>
    </row>
    <row r="90" spans="1:57" s="1" customFormat="1" ht="15" x14ac:dyDescent="0.3">
      <c r="A90" s="11"/>
      <c r="B90" s="47"/>
      <c r="C90" s="6"/>
      <c r="D90" s="6"/>
      <c r="E90" s="12"/>
      <c r="F90" s="66"/>
      <c r="G90" s="66"/>
      <c r="H90" s="26"/>
      <c r="I90" s="26"/>
      <c r="J90" s="6"/>
      <c r="K90" s="26"/>
      <c r="L90" s="6"/>
      <c r="M90" s="26"/>
      <c r="N90" s="26"/>
      <c r="O90" s="6"/>
      <c r="P90" s="26"/>
      <c r="Q90" s="6"/>
      <c r="R90" s="6"/>
      <c r="S90" s="6"/>
      <c r="T90" s="26"/>
      <c r="U90" s="26"/>
      <c r="V90" s="26"/>
      <c r="W90" s="26"/>
      <c r="X90" s="48"/>
      <c r="Y90" s="7"/>
      <c r="Z90" s="8"/>
      <c r="AA90" s="174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13"/>
      <c r="AO90" s="6"/>
      <c r="AP90" s="6"/>
      <c r="AQ90" s="6"/>
      <c r="AR90" s="6"/>
      <c r="AS90" s="6"/>
      <c r="AT90" s="14"/>
      <c r="AU90" s="14"/>
      <c r="AV90" s="26"/>
      <c r="AW90" s="26"/>
      <c r="AX90" s="26"/>
      <c r="AY90" s="26"/>
      <c r="AZ90" s="26"/>
      <c r="BA90" s="26"/>
      <c r="BC90" s="6"/>
      <c r="BD90" s="6"/>
      <c r="BE90" s="6"/>
    </row>
    <row r="91" spans="1:57" s="1" customFormat="1" ht="15" x14ac:dyDescent="0.3">
      <c r="A91" s="11"/>
      <c r="B91" s="47"/>
      <c r="C91" s="6"/>
      <c r="D91" s="6"/>
      <c r="E91" s="12"/>
      <c r="F91" s="66"/>
      <c r="G91" s="66"/>
      <c r="H91" s="26"/>
      <c r="I91" s="26"/>
      <c r="J91" s="6"/>
      <c r="K91" s="26"/>
      <c r="L91" s="6"/>
      <c r="M91" s="26"/>
      <c r="N91" s="26"/>
      <c r="O91" s="6"/>
      <c r="P91" s="26"/>
      <c r="Q91" s="6"/>
      <c r="R91" s="6"/>
      <c r="S91" s="6"/>
      <c r="T91" s="26"/>
      <c r="U91" s="26"/>
      <c r="V91" s="26"/>
      <c r="W91" s="26"/>
      <c r="X91" s="48"/>
      <c r="Y91" s="7"/>
      <c r="Z91" s="8"/>
      <c r="AA91" s="174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13"/>
      <c r="AO91" s="6"/>
      <c r="AP91" s="6"/>
      <c r="AQ91" s="6"/>
      <c r="AR91" s="6"/>
      <c r="AS91" s="6"/>
      <c r="AT91" s="14"/>
      <c r="AU91" s="14"/>
      <c r="AV91" s="26"/>
      <c r="AW91" s="26"/>
      <c r="AX91" s="26"/>
      <c r="AY91" s="26"/>
      <c r="AZ91" s="26"/>
      <c r="BA91" s="26"/>
      <c r="BC91" s="6"/>
      <c r="BD91" s="6"/>
      <c r="BE91" s="6"/>
    </row>
    <row r="92" spans="1:57" s="1" customFormat="1" ht="15" x14ac:dyDescent="0.3">
      <c r="A92" s="11"/>
      <c r="B92" s="47"/>
      <c r="C92" s="6"/>
      <c r="D92" s="6"/>
      <c r="E92" s="12"/>
      <c r="F92" s="66"/>
      <c r="G92" s="66"/>
      <c r="H92" s="26"/>
      <c r="I92" s="26"/>
      <c r="J92" s="6"/>
      <c r="K92" s="26"/>
      <c r="L92" s="6"/>
      <c r="M92" s="26"/>
      <c r="N92" s="26"/>
      <c r="O92" s="6"/>
      <c r="P92" s="26"/>
      <c r="Q92" s="6"/>
      <c r="R92" s="6"/>
      <c r="S92" s="6"/>
      <c r="T92" s="26"/>
      <c r="U92" s="26"/>
      <c r="V92" s="26"/>
      <c r="W92" s="26"/>
      <c r="X92" s="48"/>
      <c r="Y92" s="7"/>
      <c r="Z92" s="8"/>
      <c r="AA92" s="174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13"/>
      <c r="AO92" s="6"/>
      <c r="AP92" s="6"/>
      <c r="AQ92" s="6"/>
      <c r="AR92" s="6"/>
      <c r="AS92" s="6"/>
      <c r="AT92" s="14"/>
      <c r="AU92" s="14"/>
      <c r="AV92" s="26"/>
      <c r="AW92" s="26"/>
      <c r="AX92" s="26"/>
      <c r="AY92" s="26"/>
      <c r="AZ92" s="26"/>
      <c r="BA92" s="26"/>
      <c r="BC92" s="6"/>
      <c r="BD92" s="6"/>
      <c r="BE92" s="6"/>
    </row>
    <row r="93" spans="1:57" s="1" customFormat="1" ht="15" x14ac:dyDescent="0.3">
      <c r="A93" s="11"/>
      <c r="B93" s="47"/>
      <c r="C93" s="6"/>
      <c r="D93" s="6"/>
      <c r="E93" s="12"/>
      <c r="F93" s="66"/>
      <c r="G93" s="66"/>
      <c r="H93" s="26"/>
      <c r="I93" s="26"/>
      <c r="J93" s="6"/>
      <c r="K93" s="26"/>
      <c r="L93" s="6"/>
      <c r="M93" s="26"/>
      <c r="N93" s="26"/>
      <c r="O93" s="6"/>
      <c r="P93" s="26"/>
      <c r="Q93" s="6"/>
      <c r="R93" s="6"/>
      <c r="S93" s="6"/>
      <c r="T93" s="26"/>
      <c r="U93" s="26"/>
      <c r="V93" s="26"/>
      <c r="W93" s="26"/>
      <c r="X93" s="48"/>
      <c r="Y93" s="7"/>
      <c r="Z93" s="8"/>
      <c r="AA93" s="174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13"/>
      <c r="AO93" s="6"/>
      <c r="AP93" s="6"/>
      <c r="AQ93" s="6"/>
      <c r="AR93" s="6"/>
      <c r="AS93" s="6"/>
      <c r="AT93" s="14"/>
      <c r="AU93" s="14"/>
      <c r="AV93" s="26"/>
      <c r="AW93" s="26"/>
      <c r="AX93" s="26"/>
      <c r="AY93" s="26"/>
      <c r="AZ93" s="26"/>
      <c r="BA93" s="26"/>
      <c r="BC93" s="6"/>
      <c r="BD93" s="6"/>
      <c r="BE93" s="6"/>
    </row>
    <row r="94" spans="1:57" s="1" customFormat="1" ht="15" x14ac:dyDescent="0.3">
      <c r="A94" s="11"/>
      <c r="B94" s="47"/>
      <c r="C94" s="6"/>
      <c r="D94" s="6"/>
      <c r="E94" s="12"/>
      <c r="F94" s="66"/>
      <c r="G94" s="66"/>
      <c r="H94" s="26"/>
      <c r="I94" s="26"/>
      <c r="J94" s="6"/>
      <c r="K94" s="26"/>
      <c r="L94" s="6"/>
      <c r="M94" s="26"/>
      <c r="N94" s="26"/>
      <c r="O94" s="6"/>
      <c r="P94" s="26"/>
      <c r="Q94" s="6"/>
      <c r="R94" s="6"/>
      <c r="S94" s="6"/>
      <c r="T94" s="26"/>
      <c r="U94" s="26"/>
      <c r="V94" s="26"/>
      <c r="W94" s="26"/>
      <c r="X94" s="48"/>
      <c r="Y94" s="7"/>
      <c r="Z94" s="8"/>
      <c r="AA94" s="174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13"/>
      <c r="AO94" s="6"/>
      <c r="AP94" s="6"/>
      <c r="AQ94" s="6"/>
      <c r="AR94" s="6"/>
      <c r="AS94" s="6"/>
      <c r="AT94" s="14"/>
      <c r="AU94" s="14"/>
      <c r="AV94" s="26"/>
      <c r="AW94" s="26"/>
      <c r="AX94" s="26"/>
      <c r="AY94" s="26"/>
      <c r="AZ94" s="26"/>
      <c r="BA94" s="26"/>
      <c r="BC94" s="6"/>
      <c r="BD94" s="6"/>
      <c r="BE94" s="6"/>
    </row>
    <row r="95" spans="1:57" s="1" customFormat="1" ht="15" x14ac:dyDescent="0.3">
      <c r="A95" s="11"/>
      <c r="B95" s="47"/>
      <c r="C95" s="6"/>
      <c r="D95" s="6"/>
      <c r="E95" s="12"/>
      <c r="F95" s="66"/>
      <c r="G95" s="66"/>
      <c r="H95" s="26"/>
      <c r="I95" s="26"/>
      <c r="J95" s="6"/>
      <c r="K95" s="26"/>
      <c r="L95" s="6"/>
      <c r="M95" s="26"/>
      <c r="N95" s="26"/>
      <c r="O95" s="6"/>
      <c r="P95" s="26"/>
      <c r="Q95" s="6"/>
      <c r="R95" s="6"/>
      <c r="S95" s="6"/>
      <c r="T95" s="26"/>
      <c r="U95" s="26"/>
      <c r="V95" s="26"/>
      <c r="W95" s="26"/>
      <c r="X95" s="48"/>
      <c r="Y95" s="7"/>
      <c r="Z95" s="8"/>
      <c r="AA95" s="174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13"/>
      <c r="AO95" s="6"/>
      <c r="AP95" s="6"/>
      <c r="AQ95" s="6"/>
      <c r="AR95" s="6"/>
      <c r="AS95" s="6"/>
      <c r="AT95" s="14"/>
      <c r="AU95" s="14"/>
      <c r="AV95" s="26"/>
      <c r="AW95" s="26"/>
      <c r="AX95" s="26"/>
      <c r="AY95" s="26"/>
      <c r="AZ95" s="26"/>
      <c r="BA95" s="26"/>
      <c r="BC95" s="6"/>
      <c r="BD95" s="6"/>
      <c r="BE95" s="6"/>
    </row>
    <row r="96" spans="1:57" s="1" customFormat="1" ht="15" x14ac:dyDescent="0.3">
      <c r="A96" s="11"/>
      <c r="B96" s="47"/>
      <c r="C96" s="6"/>
      <c r="D96" s="6"/>
      <c r="E96" s="12"/>
      <c r="F96" s="66"/>
      <c r="G96" s="66"/>
      <c r="H96" s="26"/>
      <c r="I96" s="26"/>
      <c r="J96" s="6"/>
      <c r="K96" s="26"/>
      <c r="L96" s="6"/>
      <c r="M96" s="26"/>
      <c r="N96" s="26"/>
      <c r="O96" s="6"/>
      <c r="P96" s="26"/>
      <c r="Q96" s="6"/>
      <c r="R96" s="6"/>
      <c r="S96" s="6"/>
      <c r="T96" s="26"/>
      <c r="U96" s="26"/>
      <c r="V96" s="26"/>
      <c r="W96" s="26"/>
      <c r="X96" s="48"/>
      <c r="Y96" s="7"/>
      <c r="Z96" s="8"/>
      <c r="AA96" s="174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13"/>
      <c r="AO96" s="6"/>
      <c r="AP96" s="6"/>
      <c r="AQ96" s="6"/>
      <c r="AR96" s="6"/>
      <c r="AS96" s="6"/>
      <c r="AT96" s="14"/>
      <c r="AU96" s="14"/>
      <c r="AV96" s="26"/>
      <c r="AW96" s="26"/>
      <c r="AX96" s="26"/>
      <c r="AY96" s="26"/>
      <c r="AZ96" s="26"/>
      <c r="BA96" s="26"/>
      <c r="BC96" s="6"/>
      <c r="BD96" s="6"/>
      <c r="BE96" s="6"/>
    </row>
    <row r="97" spans="1:57" s="1" customFormat="1" ht="15" x14ac:dyDescent="0.3">
      <c r="A97" s="11"/>
      <c r="B97" s="47"/>
      <c r="C97" s="6"/>
      <c r="D97" s="6"/>
      <c r="E97" s="12"/>
      <c r="F97" s="66"/>
      <c r="G97" s="66"/>
      <c r="H97" s="26"/>
      <c r="I97" s="26"/>
      <c r="J97" s="6"/>
      <c r="K97" s="26"/>
      <c r="L97" s="6"/>
      <c r="M97" s="26"/>
      <c r="N97" s="26"/>
      <c r="O97" s="6"/>
      <c r="P97" s="26"/>
      <c r="Q97" s="6"/>
      <c r="R97" s="6"/>
      <c r="S97" s="6"/>
      <c r="T97" s="26"/>
      <c r="U97" s="26"/>
      <c r="V97" s="26"/>
      <c r="W97" s="26"/>
      <c r="X97" s="48"/>
      <c r="Y97" s="7"/>
      <c r="Z97" s="8"/>
      <c r="AA97" s="174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13"/>
      <c r="AO97" s="6"/>
      <c r="AP97" s="6"/>
      <c r="AQ97" s="6"/>
      <c r="AR97" s="6"/>
      <c r="AS97" s="6"/>
      <c r="AT97" s="14"/>
      <c r="AU97" s="14"/>
      <c r="AV97" s="26"/>
      <c r="AW97" s="26"/>
      <c r="AX97" s="26"/>
      <c r="AY97" s="26"/>
      <c r="AZ97" s="26"/>
      <c r="BA97" s="26"/>
      <c r="BC97" s="6"/>
      <c r="BD97" s="6"/>
      <c r="BE97" s="6"/>
    </row>
    <row r="98" spans="1:57" s="1" customFormat="1" ht="15" x14ac:dyDescent="0.3">
      <c r="A98" s="11"/>
      <c r="B98" s="47"/>
      <c r="C98" s="6"/>
      <c r="D98" s="6"/>
      <c r="E98" s="12"/>
      <c r="F98" s="66"/>
      <c r="G98" s="66"/>
      <c r="H98" s="26"/>
      <c r="I98" s="26"/>
      <c r="J98" s="6"/>
      <c r="K98" s="26"/>
      <c r="L98" s="6"/>
      <c r="M98" s="26"/>
      <c r="N98" s="26"/>
      <c r="O98" s="6"/>
      <c r="P98" s="26"/>
      <c r="Q98" s="6"/>
      <c r="R98" s="6"/>
      <c r="S98" s="6"/>
      <c r="T98" s="26"/>
      <c r="U98" s="26"/>
      <c r="V98" s="26"/>
      <c r="W98" s="26"/>
      <c r="X98" s="48"/>
      <c r="Y98" s="7"/>
      <c r="Z98" s="8"/>
      <c r="AA98" s="174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13"/>
      <c r="AO98" s="6"/>
      <c r="AP98" s="6"/>
      <c r="AQ98" s="6"/>
      <c r="AR98" s="6"/>
      <c r="AS98" s="6"/>
      <c r="AT98" s="14"/>
      <c r="AU98" s="14"/>
      <c r="AV98" s="26"/>
      <c r="AW98" s="26"/>
      <c r="AX98" s="26"/>
      <c r="AY98" s="26"/>
      <c r="AZ98" s="26"/>
      <c r="BA98" s="26"/>
      <c r="BC98" s="6"/>
      <c r="BD98" s="6"/>
      <c r="BE98" s="6"/>
    </row>
    <row r="99" spans="1:57" s="1" customFormat="1" ht="15" x14ac:dyDescent="0.3">
      <c r="A99" s="11"/>
      <c r="B99" s="47"/>
      <c r="C99" s="6"/>
      <c r="D99" s="6"/>
      <c r="E99" s="12"/>
      <c r="F99" s="66"/>
      <c r="G99" s="66"/>
      <c r="H99" s="26"/>
      <c r="I99" s="26"/>
      <c r="J99" s="6"/>
      <c r="K99" s="26"/>
      <c r="L99" s="6"/>
      <c r="M99" s="26"/>
      <c r="N99" s="26"/>
      <c r="O99" s="6"/>
      <c r="P99" s="26"/>
      <c r="Q99" s="6"/>
      <c r="R99" s="6"/>
      <c r="S99" s="6"/>
      <c r="T99" s="26"/>
      <c r="U99" s="26"/>
      <c r="V99" s="26"/>
      <c r="W99" s="26"/>
      <c r="X99" s="48"/>
      <c r="Y99" s="7"/>
      <c r="Z99" s="8"/>
      <c r="AA99" s="174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13"/>
      <c r="AO99" s="6"/>
      <c r="AP99" s="6"/>
      <c r="AQ99" s="6"/>
      <c r="AR99" s="6"/>
      <c r="AS99" s="6"/>
      <c r="AT99" s="14"/>
      <c r="AU99" s="14"/>
      <c r="AV99" s="26"/>
      <c r="AW99" s="26"/>
      <c r="AX99" s="26"/>
      <c r="AY99" s="26"/>
      <c r="AZ99" s="26"/>
      <c r="BA99" s="26"/>
      <c r="BC99" s="6"/>
      <c r="BD99" s="6"/>
      <c r="BE99" s="6"/>
    </row>
    <row r="100" spans="1:57" s="1" customFormat="1" ht="15" x14ac:dyDescent="0.3">
      <c r="A100" s="11"/>
      <c r="B100" s="47"/>
      <c r="C100" s="6"/>
      <c r="D100" s="6"/>
      <c r="E100" s="12"/>
      <c r="F100" s="66"/>
      <c r="G100" s="66"/>
      <c r="H100" s="26"/>
      <c r="I100" s="26"/>
      <c r="J100" s="6"/>
      <c r="K100" s="26"/>
      <c r="L100" s="6"/>
      <c r="M100" s="26"/>
      <c r="N100" s="26"/>
      <c r="O100" s="6"/>
      <c r="P100" s="26"/>
      <c r="Q100" s="6"/>
      <c r="R100" s="6"/>
      <c r="S100" s="6"/>
      <c r="T100" s="26"/>
      <c r="U100" s="26"/>
      <c r="V100" s="26"/>
      <c r="W100" s="26"/>
      <c r="X100" s="48"/>
      <c r="Y100" s="7"/>
      <c r="Z100" s="8"/>
      <c r="AA100" s="174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13"/>
      <c r="AO100" s="6"/>
      <c r="AP100" s="6"/>
      <c r="AQ100" s="6"/>
      <c r="AR100" s="6"/>
      <c r="AS100" s="6"/>
      <c r="AT100" s="14"/>
      <c r="AU100" s="14"/>
      <c r="AV100" s="26"/>
      <c r="AW100" s="26"/>
      <c r="AX100" s="26"/>
      <c r="AY100" s="26"/>
      <c r="AZ100" s="26"/>
      <c r="BA100" s="26"/>
      <c r="BC100" s="6"/>
      <c r="BD100" s="6"/>
      <c r="BE100" s="6"/>
    </row>
    <row r="101" spans="1:57" s="1" customFormat="1" ht="15" x14ac:dyDescent="0.3">
      <c r="A101" s="11"/>
      <c r="B101" s="47"/>
      <c r="C101" s="6"/>
      <c r="D101" s="6"/>
      <c r="E101" s="12"/>
      <c r="F101" s="66"/>
      <c r="G101" s="66"/>
      <c r="H101" s="26"/>
      <c r="I101" s="26"/>
      <c r="J101" s="6"/>
      <c r="K101" s="26"/>
      <c r="L101" s="6"/>
      <c r="M101" s="26"/>
      <c r="N101" s="26"/>
      <c r="O101" s="6"/>
      <c r="P101" s="26"/>
      <c r="Q101" s="6"/>
      <c r="R101" s="6"/>
      <c r="S101" s="6"/>
      <c r="T101" s="26"/>
      <c r="U101" s="26"/>
      <c r="V101" s="26"/>
      <c r="W101" s="26"/>
      <c r="X101" s="48"/>
      <c r="Y101" s="7"/>
      <c r="Z101" s="8"/>
      <c r="AA101" s="174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13"/>
      <c r="AO101" s="6"/>
      <c r="AP101" s="6"/>
      <c r="AQ101" s="6"/>
      <c r="AR101" s="6"/>
      <c r="AS101" s="6"/>
      <c r="AT101" s="14"/>
      <c r="AU101" s="14"/>
      <c r="AV101" s="26"/>
      <c r="AW101" s="26"/>
      <c r="AX101" s="26"/>
      <c r="AY101" s="26"/>
      <c r="AZ101" s="26"/>
      <c r="BA101" s="26"/>
      <c r="BC101" s="6"/>
      <c r="BD101" s="6"/>
      <c r="BE101" s="6"/>
    </row>
    <row r="102" spans="1:57" s="1" customFormat="1" ht="15" x14ac:dyDescent="0.3">
      <c r="A102" s="11"/>
      <c r="B102" s="47"/>
      <c r="C102" s="6"/>
      <c r="D102" s="6"/>
      <c r="E102" s="12"/>
      <c r="F102" s="66"/>
      <c r="G102" s="66"/>
      <c r="H102" s="26"/>
      <c r="I102" s="26"/>
      <c r="J102" s="6"/>
      <c r="K102" s="26"/>
      <c r="L102" s="6"/>
      <c r="M102" s="26"/>
      <c r="N102" s="26"/>
      <c r="O102" s="6"/>
      <c r="P102" s="26"/>
      <c r="Q102" s="6"/>
      <c r="R102" s="6"/>
      <c r="S102" s="6"/>
      <c r="T102" s="26"/>
      <c r="U102" s="26"/>
      <c r="V102" s="26"/>
      <c r="W102" s="26"/>
      <c r="X102" s="48"/>
      <c r="Y102" s="7"/>
      <c r="Z102" s="8"/>
      <c r="AA102" s="174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13"/>
      <c r="AO102" s="6"/>
      <c r="AP102" s="6"/>
      <c r="AQ102" s="6"/>
      <c r="AR102" s="6"/>
      <c r="AS102" s="6"/>
      <c r="AT102" s="14"/>
      <c r="AU102" s="14"/>
      <c r="AV102" s="26"/>
      <c r="AW102" s="26"/>
      <c r="AX102" s="26"/>
      <c r="AY102" s="26"/>
      <c r="AZ102" s="26"/>
      <c r="BA102" s="26"/>
      <c r="BC102" s="6"/>
      <c r="BD102" s="6"/>
      <c r="BE102" s="6"/>
    </row>
    <row r="103" spans="1:57" s="1" customFormat="1" ht="15" x14ac:dyDescent="0.3">
      <c r="A103" s="11"/>
      <c r="B103" s="47"/>
      <c r="C103" s="6"/>
      <c r="D103" s="6"/>
      <c r="E103" s="12"/>
      <c r="F103" s="66"/>
      <c r="G103" s="66"/>
      <c r="H103" s="26"/>
      <c r="I103" s="26"/>
      <c r="J103" s="6"/>
      <c r="K103" s="26"/>
      <c r="L103" s="6"/>
      <c r="M103" s="26"/>
      <c r="N103" s="26"/>
      <c r="O103" s="6"/>
      <c r="P103" s="26"/>
      <c r="Q103" s="6"/>
      <c r="R103" s="6"/>
      <c r="S103" s="6"/>
      <c r="T103" s="26"/>
      <c r="U103" s="26"/>
      <c r="V103" s="26"/>
      <c r="W103" s="26"/>
      <c r="X103" s="48"/>
      <c r="Y103" s="7"/>
      <c r="Z103" s="8"/>
      <c r="AA103" s="174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13"/>
      <c r="AO103" s="6"/>
      <c r="AP103" s="6"/>
      <c r="AQ103" s="6"/>
      <c r="AR103" s="6"/>
      <c r="AS103" s="6"/>
      <c r="AT103" s="14"/>
      <c r="AU103" s="14"/>
      <c r="AV103" s="26"/>
      <c r="AW103" s="26"/>
      <c r="AX103" s="26"/>
      <c r="AY103" s="26"/>
      <c r="AZ103" s="26"/>
      <c r="BA103" s="26"/>
      <c r="BC103" s="6"/>
      <c r="BD103" s="6"/>
      <c r="BE103" s="6"/>
    </row>
  </sheetData>
  <sheetProtection algorithmName="SHA-512" hashValue="/5mTZFoX+9rVkk6jCWBDC10Ni2//5Kezcc640i5qGTXN+NEwgWurb8JP3q0a8BnFWYR94+xr+C72L5/VuJTWLg==" saltValue="U7xUSbf6C1JD9Wz8bUEhVw==" spinCount="100000" sheet="1" objects="1" scenarios="1" formatCells="0" selectLockedCells="1"/>
  <mergeCells count="26">
    <mergeCell ref="F42:I42"/>
    <mergeCell ref="F43:I43"/>
    <mergeCell ref="AN2:AS4"/>
    <mergeCell ref="AT2:AU4"/>
    <mergeCell ref="H3:I3"/>
    <mergeCell ref="AA3:AA6"/>
    <mergeCell ref="E4:G4"/>
    <mergeCell ref="F6:F7"/>
    <mergeCell ref="G6:G7"/>
    <mergeCell ref="AN6:AS6"/>
    <mergeCell ref="AT6:AU6"/>
    <mergeCell ref="H39:I39"/>
    <mergeCell ref="E2:G2"/>
    <mergeCell ref="H2:I2"/>
    <mergeCell ref="E3:G3"/>
    <mergeCell ref="H6:P6"/>
    <mergeCell ref="F39:G41"/>
    <mergeCell ref="H40:I40"/>
    <mergeCell ref="H41:I41"/>
    <mergeCell ref="AV6:AW6"/>
    <mergeCell ref="AX6:BA6"/>
    <mergeCell ref="U39:V39"/>
    <mergeCell ref="T39:T41"/>
    <mergeCell ref="AV39:AV41"/>
    <mergeCell ref="U40:V40"/>
    <mergeCell ref="U41:V41"/>
  </mergeCells>
  <conditionalFormatting sqref="X499:X1048576">
    <cfRule type="expression" dxfId="225" priority="26">
      <formula>AND($C499=0,NOT($C499=""))</formula>
    </cfRule>
  </conditionalFormatting>
  <conditionalFormatting sqref="B7:E7 B8:F39 B40:E41 B5:F6">
    <cfRule type="expression" dxfId="224" priority="17">
      <formula>AND($C5=0,NOT($C5=""))</formula>
    </cfRule>
  </conditionalFormatting>
  <conditionalFormatting sqref="B6:F6 B7:E7 BB6:BB41 B39:F39 B40:E41 H39:H41 J39:U39 J40:S41 U40:U41 W40:AU41 AW40:BA41 F41:G41 I41 T41 V41 AV41 B8:BA38 H6:BA7 B5:BA5 W39:BA39">
    <cfRule type="expression" dxfId="223" priority="18">
      <formula>AND($C5=0,NOT($C5=""))</formula>
    </cfRule>
  </conditionalFormatting>
  <conditionalFormatting sqref="G6 BC8:BC37">
    <cfRule type="expression" dxfId="222" priority="22">
      <formula>AND($C7=0,NOT($C7=""))</formula>
    </cfRule>
  </conditionalFormatting>
  <conditionalFormatting sqref="BC38:BC41">
    <cfRule type="expression" dxfId="221" priority="23">
      <formula>AND(#REF!=0,NOT(#REF!=""))</formula>
    </cfRule>
  </conditionalFormatting>
  <conditionalFormatting sqref="W8:X41 BC8:BD41">
    <cfRule type="expression" dxfId="220" priority="14">
      <formula>$BD8=3</formula>
    </cfRule>
    <cfRule type="expression" dxfId="219" priority="15">
      <formula>$BD8=2</formula>
    </cfRule>
  </conditionalFormatting>
  <conditionalFormatting sqref="W8:W41 BC8:BD41">
    <cfRule type="expression" dxfId="218" priority="16">
      <formula>$BD8=1</formula>
    </cfRule>
  </conditionalFormatting>
  <conditionalFormatting sqref="A8:BB38">
    <cfRule type="expression" dxfId="217" priority="13">
      <formula>$R$1=TRUE</formula>
    </cfRule>
  </conditionalFormatting>
  <conditionalFormatting sqref="B1:F4">
    <cfRule type="expression" dxfId="216" priority="7">
      <formula>AND($C1=0,NOT($C1=""))</formula>
    </cfRule>
  </conditionalFormatting>
  <conditionalFormatting sqref="B1:BA4">
    <cfRule type="expression" dxfId="215" priority="8">
      <formula>AND($C1=0,NOT($C1=""))</formula>
    </cfRule>
  </conditionalFormatting>
  <conditionalFormatting sqref="B42:F42">
    <cfRule type="expression" dxfId="214" priority="4">
      <formula>AND($C42=0,NOT($C42=""))</formula>
    </cfRule>
  </conditionalFormatting>
  <conditionalFormatting sqref="BB42">
    <cfRule type="expression" dxfId="213" priority="5">
      <formula>AND($C42=0,NOT($C42=""))</formula>
    </cfRule>
  </conditionalFormatting>
  <conditionalFormatting sqref="BC42">
    <cfRule type="expression" dxfId="212" priority="6">
      <formula>AND(#REF!=0,NOT(#REF!=""))</formula>
    </cfRule>
  </conditionalFormatting>
  <conditionalFormatting sqref="BC42:BD42">
    <cfRule type="expression" dxfId="211" priority="1">
      <formula>$BD42=3</formula>
    </cfRule>
    <cfRule type="expression" dxfId="210" priority="2">
      <formula>$BD42=2</formula>
    </cfRule>
  </conditionalFormatting>
  <conditionalFormatting sqref="BC42:BD42">
    <cfRule type="expression" dxfId="209" priority="3">
      <formula>$BD42=1</formula>
    </cfRule>
  </conditionalFormatting>
  <dataValidations count="2">
    <dataValidation type="list" allowBlank="1" showInputMessage="1" showErrorMessage="1" sqref="G8:G38">
      <formula1>Code_Liste</formula1>
    </dataValidation>
    <dataValidation type="time" allowBlank="1" showInputMessage="1" showErrorMessage="1" sqref="H8:I12 K8:K12">
      <formula1>$R$6</formula1>
      <formula2>$S$6</formula2>
    </dataValidation>
  </dataValidations>
  <pageMargins left="0.70866141732283472" right="0.70866141732283472" top="0.78740157480314965" bottom="0.78740157480314965" header="0.31496062992125984" footer="0.31496062992125984"/>
  <pageSetup paperSize="9" scale="6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D0B41E7C-9A5B-4166-A31E-CF098FBD9A85}">
            <xm:f>Voreinstellung_Übersicht!$R$14=3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21" stopIfTrue="1" id="{ACBA86F5-4062-444B-B363-0C2E2BAE78EE}">
            <xm:f>Voreinstellung_Übersicht!$R$14=2</xm:f>
            <x14:dxf>
              <fill>
                <patternFill>
                  <bgColor rgb="FFFFC000"/>
                </patternFill>
              </fill>
            </x14:dxf>
          </x14:cfRule>
          <xm:sqref>W7:X41</xm:sqref>
        </x14:conditionalFormatting>
        <x14:conditionalFormatting xmlns:xm="http://schemas.microsoft.com/office/excel/2006/main">
          <x14:cfRule type="expression" priority="19" stopIfTrue="1" id="{39BDBC9E-4075-4ACD-85C3-9B3BB65FCF4A}">
            <xm:f>Voreinstellung_Übersicht!$R$14=1</xm:f>
            <x14:dxf>
              <fill>
                <patternFill>
                  <bgColor theme="9" tint="0.59996337778862885"/>
                </patternFill>
              </fill>
            </x14:dxf>
          </x14:cfRule>
          <xm:sqref>W7:W41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2"/>
  <sheetViews>
    <sheetView zoomScale="80" zoomScaleNormal="80" workbookViewId="0">
      <selection activeCell="G8" sqref="G8"/>
    </sheetView>
  </sheetViews>
  <sheetFormatPr baseColWidth="10" defaultColWidth="11.42578125" defaultRowHeight="15.75" x14ac:dyDescent="0.3"/>
  <cols>
    <col min="1" max="1" width="5.5703125" customWidth="1"/>
    <col min="2" max="2" width="12.7109375" bestFit="1" customWidth="1"/>
    <col min="3" max="4" width="0" hidden="1" customWidth="1"/>
    <col min="5" max="5" width="15.7109375" customWidth="1"/>
    <col min="6" max="6" width="6.28515625" customWidth="1"/>
    <col min="7" max="7" width="6" customWidth="1"/>
    <col min="8" max="9" width="11.5703125" bestFit="1" customWidth="1"/>
    <col min="10" max="10" width="0" hidden="1" customWidth="1"/>
    <col min="11" max="11" width="11.42578125" customWidth="1"/>
    <col min="12" max="12" width="0" hidden="1" customWidth="1"/>
    <col min="13" max="14" width="11.5703125" bestFit="1" customWidth="1"/>
    <col min="15" max="15" width="0" hidden="1" customWidth="1"/>
    <col min="17" max="19" width="0" hidden="1" customWidth="1"/>
    <col min="20" max="21" width="11.5703125" bestFit="1" customWidth="1"/>
    <col min="24" max="24" width="25.7109375" customWidth="1"/>
    <col min="25" max="46" width="11.5703125" hidden="1" customWidth="1"/>
    <col min="47" max="47" width="11.42578125" hidden="1" customWidth="1"/>
    <col min="49" max="49" width="13.7109375" customWidth="1"/>
    <col min="53" max="53" width="13" customWidth="1"/>
    <col min="54" max="54" width="18.140625" customWidth="1"/>
    <col min="55" max="57" width="11.5703125" hidden="1" customWidth="1"/>
    <col min="58" max="58" width="11.5703125" style="1" hidden="1" customWidth="1"/>
  </cols>
  <sheetData>
    <row r="1" spans="1:58" s="1" customFormat="1" thickBot="1" x14ac:dyDescent="0.35">
      <c r="A1" s="26"/>
      <c r="B1" s="47"/>
      <c r="C1" s="6"/>
      <c r="D1" s="6"/>
      <c r="E1" s="12"/>
      <c r="F1" s="66"/>
      <c r="G1" s="66"/>
      <c r="H1" s="26"/>
      <c r="I1" s="26"/>
      <c r="J1" s="6"/>
      <c r="K1" s="26"/>
      <c r="L1" s="6"/>
      <c r="M1" s="26"/>
      <c r="N1" s="26"/>
      <c r="O1" s="6"/>
      <c r="P1" s="26"/>
      <c r="Q1" s="6" t="s">
        <v>123</v>
      </c>
      <c r="R1" s="315" t="b">
        <v>0</v>
      </c>
      <c r="S1" s="6"/>
      <c r="T1" s="26"/>
      <c r="U1" s="26"/>
      <c r="V1" s="26"/>
      <c r="W1" s="26"/>
      <c r="X1" s="48"/>
      <c r="Y1" s="7"/>
      <c r="Z1" s="8"/>
      <c r="AA1" s="17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3"/>
      <c r="AO1" s="6"/>
      <c r="AP1" s="6"/>
      <c r="AQ1" s="6"/>
      <c r="AR1" s="6"/>
      <c r="AS1" s="6"/>
      <c r="AT1" s="14"/>
      <c r="AU1" s="14"/>
      <c r="AV1" s="26"/>
      <c r="AW1" s="26"/>
      <c r="AX1" s="26"/>
      <c r="AY1" s="26"/>
      <c r="AZ1" s="26"/>
      <c r="BA1" s="26"/>
      <c r="BC1" s="6"/>
      <c r="BD1" s="6"/>
      <c r="BE1" s="6"/>
    </row>
    <row r="2" spans="1:58" s="1" customFormat="1" ht="16.5" customHeight="1" x14ac:dyDescent="0.3">
      <c r="A2" s="26"/>
      <c r="B2" s="71" t="s">
        <v>1</v>
      </c>
      <c r="C2" s="222" t="str">
        <f>Name</f>
        <v>Max Mustermann</v>
      </c>
      <c r="D2" s="222"/>
      <c r="E2" s="466" t="str">
        <f>C2</f>
        <v>Max Mustermann</v>
      </c>
      <c r="F2" s="466"/>
      <c r="G2" s="466"/>
      <c r="H2" s="471" t="s">
        <v>7</v>
      </c>
      <c r="I2" s="471"/>
      <c r="J2" s="222"/>
      <c r="K2" s="69">
        <f>Personalnummer</f>
        <v>123456789</v>
      </c>
      <c r="L2" s="219"/>
      <c r="M2" s="26"/>
      <c r="N2" s="26"/>
      <c r="O2" s="219"/>
      <c r="P2" s="26"/>
      <c r="Q2" s="219"/>
      <c r="R2" s="219"/>
      <c r="S2" s="219"/>
      <c r="T2" s="26"/>
      <c r="U2" s="26"/>
      <c r="V2" s="26"/>
      <c r="W2" s="26"/>
      <c r="X2" s="48"/>
      <c r="Y2" s="221"/>
      <c r="Z2" s="295"/>
      <c r="AA2" s="296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474"/>
      <c r="AO2" s="474"/>
      <c r="AP2" s="474"/>
      <c r="AQ2" s="474"/>
      <c r="AR2" s="474"/>
      <c r="AS2" s="474"/>
      <c r="AT2" s="470" t="s">
        <v>124</v>
      </c>
      <c r="AU2" s="470"/>
      <c r="AV2" s="26"/>
      <c r="AW2" s="26"/>
      <c r="AX2" s="26"/>
      <c r="AY2" s="26"/>
      <c r="AZ2" s="26"/>
      <c r="BA2" s="26"/>
      <c r="BB2" s="29"/>
      <c r="BC2" s="219"/>
      <c r="BD2" s="219"/>
      <c r="BE2" s="219"/>
    </row>
    <row r="3" spans="1:58" s="1" customFormat="1" ht="16.5" customHeight="1" x14ac:dyDescent="0.3">
      <c r="A3" s="26"/>
      <c r="B3" s="72" t="s">
        <v>125</v>
      </c>
      <c r="C3" s="223">
        <f>Jahr</f>
        <v>42004</v>
      </c>
      <c r="D3" s="223"/>
      <c r="E3" s="468">
        <f>Jahr</f>
        <v>42004</v>
      </c>
      <c r="F3" s="468"/>
      <c r="G3" s="468"/>
      <c r="H3" s="472" t="s">
        <v>5</v>
      </c>
      <c r="I3" s="472"/>
      <c r="J3" s="224"/>
      <c r="K3" s="70">
        <f>Geburtstag</f>
        <v>16833</v>
      </c>
      <c r="L3" s="219"/>
      <c r="M3" s="26"/>
      <c r="N3" s="26"/>
      <c r="O3" s="219"/>
      <c r="P3" s="26"/>
      <c r="Q3" s="219"/>
      <c r="R3" s="219"/>
      <c r="S3" s="219"/>
      <c r="T3" s="26"/>
      <c r="U3" s="26"/>
      <c r="V3" s="26"/>
      <c r="W3" s="26"/>
      <c r="X3" s="48"/>
      <c r="Y3" s="221"/>
      <c r="Z3" s="295"/>
      <c r="AA3" s="475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474"/>
      <c r="AO3" s="474"/>
      <c r="AP3" s="474"/>
      <c r="AQ3" s="474"/>
      <c r="AR3" s="474"/>
      <c r="AS3" s="474"/>
      <c r="AT3" s="470"/>
      <c r="AU3" s="470"/>
      <c r="AV3" s="26"/>
      <c r="AW3" s="26"/>
      <c r="AX3" s="26"/>
      <c r="AY3" s="26"/>
      <c r="AZ3" s="26"/>
      <c r="BA3" s="26"/>
      <c r="BB3" s="29"/>
      <c r="BC3" s="219"/>
      <c r="BD3" s="219"/>
      <c r="BE3" s="219"/>
    </row>
    <row r="4" spans="1:58" s="1" customFormat="1" ht="16.5" customHeight="1" thickBot="1" x14ac:dyDescent="0.35">
      <c r="A4" s="26"/>
      <c r="B4" s="322" t="s">
        <v>126</v>
      </c>
      <c r="C4" s="323">
        <f>Jahr</f>
        <v>42004</v>
      </c>
      <c r="D4" s="323"/>
      <c r="E4" s="467">
        <f>B8</f>
        <v>42063</v>
      </c>
      <c r="F4" s="467"/>
      <c r="G4" s="467"/>
      <c r="H4" s="324"/>
      <c r="I4" s="324"/>
      <c r="J4" s="325"/>
      <c r="K4" s="326"/>
      <c r="L4" s="219"/>
      <c r="M4" s="26"/>
      <c r="N4" s="26"/>
      <c r="O4" s="219"/>
      <c r="P4" s="26"/>
      <c r="Q4" s="219"/>
      <c r="R4" s="219"/>
      <c r="S4" s="219"/>
      <c r="T4" s="26"/>
      <c r="U4" s="26"/>
      <c r="V4" s="26"/>
      <c r="W4" s="26"/>
      <c r="X4" s="48"/>
      <c r="Y4" s="221"/>
      <c r="Z4" s="295"/>
      <c r="AA4" s="475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474"/>
      <c r="AO4" s="474"/>
      <c r="AP4" s="474"/>
      <c r="AQ4" s="474"/>
      <c r="AR4" s="474"/>
      <c r="AS4" s="474"/>
      <c r="AT4" s="470"/>
      <c r="AU4" s="470"/>
      <c r="AV4" s="26"/>
      <c r="AW4" s="26"/>
      <c r="AX4" s="26"/>
      <c r="AY4" s="26"/>
      <c r="AZ4" s="26"/>
      <c r="BA4" s="26"/>
      <c r="BB4" s="29"/>
      <c r="BC4" s="219"/>
      <c r="BD4" s="219"/>
      <c r="BE4" s="219"/>
    </row>
    <row r="5" spans="1:58" s="1" customFormat="1" ht="15" x14ac:dyDescent="0.3">
      <c r="A5" s="26"/>
      <c r="B5" s="73"/>
      <c r="C5" s="225"/>
      <c r="D5" s="225"/>
      <c r="E5" s="67"/>
      <c r="F5" s="67"/>
      <c r="G5" s="67"/>
      <c r="H5" s="68"/>
      <c r="I5" s="68"/>
      <c r="J5" s="226"/>
      <c r="K5" s="68"/>
      <c r="L5" s="219"/>
      <c r="M5" s="26"/>
      <c r="N5" s="26"/>
      <c r="O5" s="219"/>
      <c r="P5" s="26"/>
      <c r="Q5" s="219"/>
      <c r="R5" s="219"/>
      <c r="S5" s="219"/>
      <c r="T5" s="26"/>
      <c r="U5" s="26"/>
      <c r="V5" s="26"/>
      <c r="W5" s="26"/>
      <c r="X5" s="48"/>
      <c r="Y5" s="221"/>
      <c r="Z5" s="295"/>
      <c r="AA5" s="475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73"/>
      <c r="AO5" s="273"/>
      <c r="AP5" s="273"/>
      <c r="AQ5" s="273"/>
      <c r="AR5" s="273"/>
      <c r="AS5" s="273"/>
      <c r="AT5" s="272"/>
      <c r="AU5" s="272"/>
      <c r="AV5" s="26"/>
      <c r="AW5" s="26"/>
      <c r="AX5" s="26"/>
      <c r="AY5" s="26"/>
      <c r="AZ5" s="26"/>
      <c r="BA5" s="26"/>
      <c r="BB5" s="29"/>
      <c r="BC5" s="219"/>
      <c r="BD5" s="219"/>
      <c r="BE5" s="219"/>
    </row>
    <row r="6" spans="1:58" s="1" customFormat="1" ht="27.6" customHeight="1" x14ac:dyDescent="0.3">
      <c r="A6" s="227"/>
      <c r="B6" s="86"/>
      <c r="C6" s="228" t="s">
        <v>127</v>
      </c>
      <c r="D6" s="228" t="s">
        <v>81</v>
      </c>
      <c r="E6" s="297"/>
      <c r="F6" s="465" t="s">
        <v>128</v>
      </c>
      <c r="G6" s="476" t="s">
        <v>129</v>
      </c>
      <c r="H6" s="462" t="s">
        <v>130</v>
      </c>
      <c r="I6" s="464"/>
      <c r="J6" s="464"/>
      <c r="K6" s="464"/>
      <c r="L6" s="464"/>
      <c r="M6" s="464"/>
      <c r="N6" s="464"/>
      <c r="O6" s="464"/>
      <c r="P6" s="464"/>
      <c r="Q6" s="228" t="s">
        <v>131</v>
      </c>
      <c r="R6" s="228">
        <v>0</v>
      </c>
      <c r="S6" s="228">
        <v>1</v>
      </c>
      <c r="T6" s="84"/>
      <c r="U6" s="84"/>
      <c r="V6" s="84"/>
      <c r="W6" s="85"/>
      <c r="X6" s="291"/>
      <c r="Y6" s="221"/>
      <c r="Z6" s="295"/>
      <c r="AA6" s="475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473" t="s">
        <v>82</v>
      </c>
      <c r="AO6" s="473"/>
      <c r="AP6" s="473"/>
      <c r="AQ6" s="473"/>
      <c r="AR6" s="473"/>
      <c r="AS6" s="473"/>
      <c r="AT6" s="469" t="s">
        <v>70</v>
      </c>
      <c r="AU6" s="469"/>
      <c r="AV6" s="462" t="s">
        <v>105</v>
      </c>
      <c r="AW6" s="463"/>
      <c r="AX6" s="462" t="s">
        <v>132</v>
      </c>
      <c r="AY6" s="464"/>
      <c r="AZ6" s="464"/>
      <c r="BA6" s="465"/>
      <c r="BB6" s="211" t="s">
        <v>133</v>
      </c>
      <c r="BC6" s="219" t="s">
        <v>134</v>
      </c>
      <c r="BD6" s="219"/>
      <c r="BE6" s="219"/>
    </row>
    <row r="7" spans="1:58" s="290" customFormat="1" ht="39" customHeight="1" x14ac:dyDescent="0.25">
      <c r="A7" s="279" t="s">
        <v>135</v>
      </c>
      <c r="B7" s="274" t="s">
        <v>80</v>
      </c>
      <c r="C7" s="281"/>
      <c r="D7" s="281"/>
      <c r="E7" s="241" t="s">
        <v>136</v>
      </c>
      <c r="F7" s="478"/>
      <c r="G7" s="477"/>
      <c r="H7" s="275" t="s">
        <v>137</v>
      </c>
      <c r="I7" s="276" t="s">
        <v>138</v>
      </c>
      <c r="J7" s="282" t="s">
        <v>139</v>
      </c>
      <c r="K7" s="277" t="s">
        <v>140</v>
      </c>
      <c r="L7" s="281" t="s">
        <v>141</v>
      </c>
      <c r="M7" s="275" t="s">
        <v>142</v>
      </c>
      <c r="N7" s="276" t="s">
        <v>143</v>
      </c>
      <c r="O7" s="282" t="s">
        <v>144</v>
      </c>
      <c r="P7" s="277" t="s">
        <v>145</v>
      </c>
      <c r="Q7" s="281" t="s">
        <v>146</v>
      </c>
      <c r="R7" s="281" t="s">
        <v>147</v>
      </c>
      <c r="S7" s="281" t="s">
        <v>148</v>
      </c>
      <c r="T7" s="211" t="s">
        <v>149</v>
      </c>
      <c r="U7" s="211" t="s">
        <v>150</v>
      </c>
      <c r="V7" s="275" t="s">
        <v>151</v>
      </c>
      <c r="W7" s="278" t="s">
        <v>152</v>
      </c>
      <c r="X7" s="278" t="s">
        <v>153</v>
      </c>
      <c r="Y7" s="283" t="s">
        <v>154</v>
      </c>
      <c r="Z7" s="284" t="s">
        <v>155</v>
      </c>
      <c r="AA7" s="285" t="s">
        <v>134</v>
      </c>
      <c r="AB7" s="286" t="s">
        <v>49</v>
      </c>
      <c r="AC7" s="286" t="s">
        <v>59</v>
      </c>
      <c r="AD7" s="286" t="s">
        <v>57</v>
      </c>
      <c r="AE7" s="286" t="s">
        <v>55</v>
      </c>
      <c r="AF7" s="286" t="s">
        <v>156</v>
      </c>
      <c r="AG7" s="286" t="s">
        <v>157</v>
      </c>
      <c r="AH7" s="286" t="s">
        <v>61</v>
      </c>
      <c r="AI7" s="286" t="s">
        <v>65</v>
      </c>
      <c r="AJ7" s="286" t="s">
        <v>74</v>
      </c>
      <c r="AK7" s="286" t="s">
        <v>76</v>
      </c>
      <c r="AL7" s="286" t="s">
        <v>158</v>
      </c>
      <c r="AM7" s="286" t="s">
        <v>78</v>
      </c>
      <c r="AN7" s="287" t="s">
        <v>159</v>
      </c>
      <c r="AO7" s="286" t="s">
        <v>160</v>
      </c>
      <c r="AP7" s="286" t="s">
        <v>81</v>
      </c>
      <c r="AQ7" s="286" t="s">
        <v>161</v>
      </c>
      <c r="AR7" s="286" t="s">
        <v>162</v>
      </c>
      <c r="AS7" s="286" t="s">
        <v>39</v>
      </c>
      <c r="AT7" s="288" t="s">
        <v>163</v>
      </c>
      <c r="AU7" s="288" t="s">
        <v>164</v>
      </c>
      <c r="AV7" s="279" t="s">
        <v>165</v>
      </c>
      <c r="AW7" s="280" t="s">
        <v>166</v>
      </c>
      <c r="AX7" s="279" t="s">
        <v>38</v>
      </c>
      <c r="AY7" s="241" t="s">
        <v>39</v>
      </c>
      <c r="AZ7" s="241" t="s">
        <v>81</v>
      </c>
      <c r="BA7" s="280" t="s">
        <v>167</v>
      </c>
      <c r="BB7" s="280" t="s">
        <v>167</v>
      </c>
      <c r="BC7" s="289" t="s">
        <v>165</v>
      </c>
      <c r="BD7" s="289" t="s">
        <v>168</v>
      </c>
      <c r="BE7" s="289" t="s">
        <v>169</v>
      </c>
      <c r="BF7" s="290" t="s">
        <v>170</v>
      </c>
    </row>
    <row r="8" spans="1:58" s="1" customFormat="1" ht="15" x14ac:dyDescent="0.3">
      <c r="A8" s="218">
        <f t="shared" ref="A8:A38" si="0">WEEKNUM(B8)</f>
        <v>9</v>
      </c>
      <c r="B8" s="47">
        <f>IF(Feb!B36="",Feb!B35+1,Feb!B36+1)</f>
        <v>42063</v>
      </c>
      <c r="C8" s="219">
        <f t="shared" ref="C8:C38" si="1">NETWORKDAYS(B8,B8,Feiertage)</f>
        <v>1</v>
      </c>
      <c r="D8" s="220" t="str">
        <f t="shared" ref="D8:D38" si="2">IF(ISERROR(VLOOKUP(B8,Feiertage_ganz,4,FALSE)),"",(VLOOKUP(B8,Feiertage_ganz,4,FALSE)))</f>
        <v/>
      </c>
      <c r="E8" s="298" t="str">
        <f t="shared" ref="E8:E38" si="3">D8</f>
        <v/>
      </c>
      <c r="F8" s="87">
        <f t="shared" ref="F8:F38" si="4">B8</f>
        <v>42063</v>
      </c>
      <c r="G8" s="147"/>
      <c r="H8" s="214"/>
      <c r="I8" s="75"/>
      <c r="J8" s="221">
        <f t="shared" ref="J8:J38" si="5">I8-H8</f>
        <v>0</v>
      </c>
      <c r="K8" s="76"/>
      <c r="L8" s="221">
        <f>IF(J8-K8&gt;Pause_9,Pause_9p,IF(J8-K8&gt;Pause_6,Pause_6p,0))</f>
        <v>0</v>
      </c>
      <c r="M8" s="74"/>
      <c r="N8" s="75"/>
      <c r="O8" s="221">
        <f t="shared" ref="O8:O38" si="6">N8-M8</f>
        <v>0</v>
      </c>
      <c r="P8" s="76"/>
      <c r="Q8" s="221">
        <f>IF(O8-P8&gt;Pause_9,Pause_9p,IF(O8-P8&gt;Pause_6,Pause_6p,0))</f>
        <v>0</v>
      </c>
      <c r="R8" s="221">
        <f>IF(J8+O8-K8-P8&gt;Pause_9,Pause_9p,IF(J8+O8-K8-P8&gt;Pause_6,Pause_6p,0))</f>
        <v>0</v>
      </c>
      <c r="S8" s="221">
        <f t="shared" ref="S8:S38" si="7">IF(M8&gt;I8,IF(M8-I8+K8+P8&gt;=R8,K8+P8,R8),IF(K8+P8&gt;=R8,K8+P8,R8))</f>
        <v>0</v>
      </c>
      <c r="T8" s="79">
        <f t="shared" ref="T8:T38" si="8">IF(I8&lt;=M8,I8-H8+N8-M8,IF(I8&lt;=N8,N8-H8,I8-H8))</f>
        <v>0</v>
      </c>
      <c r="U8" s="79">
        <f>ROUND(T8-S8,10)</f>
        <v>0</v>
      </c>
      <c r="V8" s="80">
        <f t="shared" ref="V8:V38" ca="1" si="9">ROUND(IF(AND(D8&lt;&gt;"",G8=""),IF(ISERROR(VLOOKUP(B8,Feiertage,3,FALSE)),0,Z8),IF(B8="",0,IF(G8&lt;&gt;"",IF(UPPER(G8)=VLOOKUP(UPPER(G8),Code,1,FALSE),VLOOKUP(G8,Code,2,FALSE)*Z8,Z8),Z8))),10)</f>
        <v>0.33333333329999998</v>
      </c>
      <c r="W8" s="249" t="str">
        <f t="shared" ref="W8:W38" ca="1" si="10">IF(OR(AND(VLOOKUP(UPPER(G8),Code,3,FALSE)=2,U8&gt;V8),AND(I8&lt;&gt;0,B8&lt;&gt;"",G8=""),VLOOKUP(UPPER(G8),Code,3,FALSE)=1),U8-V8,"")</f>
        <v/>
      </c>
      <c r="X8" s="292"/>
      <c r="Y8" s="221">
        <f t="shared" ref="Y8:Y38" si="11">IF(G8&lt;&gt;"",IF(VLOOKUP(G8,Code,2,FALSE)=2,U8,IF(AND(VLOOKUP(G8,Code,2,FALSE)=1,U8&gt;Z8),U8,0)),0)</f>
        <v>0</v>
      </c>
      <c r="Z8" s="299">
        <f ca="1">IF(B8="","",INDIRECT(ADDRESS(MATCH(B8,Soll_AZ,1)+MATCH("Arbeitszeit 1 ab",Voreinstellung_Übersicht!B:B,0)-1,WEEKDAY(B8,2)+4,,,"Voreinstellung_Übersicht"),TRUE))</f>
        <v>0.33333333333333331</v>
      </c>
      <c r="AA8" s="300">
        <f ca="1">IF(W8="",Übertrag_Mehrarbeit,Übertrag_Mehrarbeit+W8)</f>
        <v>0</v>
      </c>
      <c r="AB8" s="219">
        <f t="shared" ref="AB8:AB38" si="12">IF(AND($G8&lt;&gt;0,IF(ISERROR(VLOOKUP($G8,Code,1,FALSE)),FALSE,VLOOKUP($G8,Code,1,FALSE)="U"),$C8=1),1,0)</f>
        <v>0</v>
      </c>
      <c r="AC8" s="219">
        <f t="shared" ref="AC8:AC38" si="13">IF(AND($G8&lt;&gt;0,IF(ISERROR(VLOOKUP($G8,Code,1,FALSE)),FALSE,VLOOKUP($G8,Code,1,FALSE))="WB"),1,0)</f>
        <v>0</v>
      </c>
      <c r="AD8" s="219">
        <f t="shared" ref="AD8:AD38" si="14">IF(AND($G8&lt;&gt;0,IF(ISERROR(VLOOKUP($G8,Code,1,FALSE)),FALSE,VLOOKUP($G8,Code,1,FALSE))="DR",$C8=1),1,0)</f>
        <v>0</v>
      </c>
      <c r="AE8" s="219">
        <f t="shared" ref="AE8:AE38" si="15">IF(AND($G8&lt;&gt;0,IF(ISERROR(VLOOKUP($G8,Code,1,FALSE)),FALSE,VLOOKUP($G8,Code,1,FALSE))="KK",$C8=1),1,0)</f>
        <v>0</v>
      </c>
      <c r="AF8" s="219">
        <f t="shared" ref="AF8:AF38" si="16">IF(AND($G8&lt;&gt;0,IF(ISERROR(VLOOKUP($G8,Code,1,FALSE)),FALSE,VLOOKUP($G8,Code,1,FALSE))="K",$C8=1),1,0)</f>
        <v>0</v>
      </c>
      <c r="AG8" s="219">
        <f t="shared" ref="AG8:AG38" si="17">IF(AND($G8&lt;&gt;0,IF(ISERROR(VLOOKUP($G8,Code,1,FALSE)),FALSE,VLOOKUP($G8,Code,1,FALSE))="KZT"),1,0)</f>
        <v>0</v>
      </c>
      <c r="AH8" s="219">
        <f t="shared" ref="AH8:AH38" si="18">IF(AND($G8&lt;&gt;0,IF(ISERROR(VLOOKUP($G8,Code,1,FALSE)),FALSE,VLOOKUP($G8,Code,1,FALSE))="mEG",$C8=1),1,0)</f>
        <v>0</v>
      </c>
      <c r="AI8" s="219">
        <f t="shared" ref="AI8:AI38" si="19">IF(AND($G8&lt;&gt;0,IF(ISERROR(VLOOKUP($G8,Code,1,FALSE)),FALSE,VLOOKUP($G8,Code,1,FALSE))="Ku"),1,0)</f>
        <v>0</v>
      </c>
      <c r="AJ8" s="219">
        <f t="shared" ref="AJ8:AJ38" si="20">IF(AND($G8&lt;&gt;0,IF(ISERROR(VLOOKUP($G8,Code,1,FALSE)),FALSE,VLOOKUP($G8,Code,1,FALSE))="§29(1)",$C8=1),1,0)</f>
        <v>0</v>
      </c>
      <c r="AK8" s="219">
        <f t="shared" ref="AK8:AK38" si="21">IF(AND($G8&lt;&gt;0,IF(ISERROR(VLOOKUP($G8,Code,1,FALSE)),FALSE,VLOOKUP($G8,Code,1,FALSE))="§29(2)",$C8=1),1,0)</f>
        <v>0</v>
      </c>
      <c r="AL8" s="219">
        <f t="shared" ref="AL8:AL38" si="22">IF(AND($G8&lt;&gt;0,IF(ISERROR(VLOOKUP($G8,Code,1,FALSE)),FALSE,VLOOKUP($G8,Code,1,FALSE))="§29(3)",$C8=1),1,0)</f>
        <v>0</v>
      </c>
      <c r="AM8" s="219">
        <f t="shared" ref="AM8:AM38" si="23">IF(AND($G8&lt;&gt;0,IF(ISERROR(VLOOKUP($G8,Code,1,FALSE)),FALSE,VLOOKUP($G8,Code,1,FALSE))="§29(4)",$C8=1),1,0)</f>
        <v>0</v>
      </c>
      <c r="AN8" s="301">
        <f t="shared" ref="AN8:AN38" si="24">IF(OR(AND(H8&lt;Nacht_6,I8-K8&lt;=Nacht_6),AND(I8&gt;Nacht_22,H8+K8&gt;=Nacht_22)),I8-H8-K8,IF(H8&lt;Nacht_6,IF(I8&gt;Nacht_22,Nacht_6-H8+I8-Nacht_22,Nacht_6-H8),IF(I8&gt;Nacht_22,I8-Nacht_22,0)))</f>
        <v>0</v>
      </c>
      <c r="AO8" s="301">
        <f t="shared" ref="AO8:AO38" si="25">IF(OR(AND(M8&lt;Nacht_6,N8-P8&lt;=Nacht_6),AND(N8&gt;Nacht_22,M8+P8&gt;=Nacht_22)),N8-M8-P8,IF(M8&lt;Nacht_6,IF(N8&gt;Nacht_22,Nacht_6-M8+N8-Nacht_22,Nacht_6-M8),IF(N8&gt;Nacht_22,N8-Nacht_22,0)))</f>
        <v>0</v>
      </c>
      <c r="AP8" s="301">
        <f t="shared" ref="AP8:AP38" si="26">IF(ISERROR(VLOOKUP(B8,Feiertage_ganz,3,FALSE)),0,IF(VLOOKUP(B8,Feiertage_ganz,3,FALSE)=1,U8,0))</f>
        <v>0</v>
      </c>
      <c r="AQ8" s="301">
        <f t="shared" ref="AQ8:AQ38" si="27">IF(OR(I8&lt;=Samstagszuschlag,H8&gt;=Nacht_22),0,IF(H8&lt;=Samstagszuschlag,IF(I8&lt;=Nacht_22,I8-Samstagszuschlag,Nacht_22-Samstagszuschlag),IF(I8&lt;=Nacht_22,I8-H8,Nacht_22-H8)))</f>
        <v>0</v>
      </c>
      <c r="AR8" s="301">
        <f t="shared" ref="AR8:AR38" si="28">IF(OR(N8&lt;=Samstagszuschlag,M8&lt;=Nacht_22),0,IF(M8&lt;=Samstagszuschlag,IF(N8&lt;=Nacht_22,N8-Samstagszuschlag,Nacht_22-Samstagszuschlag),IF(N8&lt;=Nacht_22,N8-M8,Nacht_22-M8)))</f>
        <v>0</v>
      </c>
      <c r="AS8" s="301">
        <f t="shared" ref="AS8:AS38" si="29">IF(WEEKDAY(B8,2)=7,U8,0)</f>
        <v>0</v>
      </c>
      <c r="AT8" s="302">
        <f t="shared" ref="AT8:AT38" si="30">IF(ISERROR(VLOOKUP(G8,Code_Liste,1,FALSE)),0,I8-H8)</f>
        <v>0</v>
      </c>
      <c r="AU8" s="302">
        <f t="shared" ref="AU8:AU38" si="31">IF(ISERROR(VLOOKUP(G8,Code_Liste,1,FALSE)),0,N8-M8)</f>
        <v>0</v>
      </c>
      <c r="AV8" s="81">
        <f t="shared" ref="AV8:AV38" si="32">SUM(AN8:AO8)</f>
        <v>0</v>
      </c>
      <c r="AW8" s="82">
        <f t="shared" ref="AW8:AW38" si="33">AV8*Zuschlag_Nacht/100</f>
        <v>0</v>
      </c>
      <c r="AX8" s="81">
        <f t="shared" ref="AX8:AX38" si="34">IF(WEEKDAY(B8,2)=6,AQ8+AR8,0)</f>
        <v>0</v>
      </c>
      <c r="AY8" s="83">
        <f t="shared" ref="AY8:AY38" si="35">AS8</f>
        <v>0</v>
      </c>
      <c r="AZ8" s="83">
        <f t="shared" ref="AZ8:AZ38" si="36">AP8</f>
        <v>0</v>
      </c>
      <c r="BA8" s="82">
        <f>IF(OR(B8=Feiertage!$A$16,B8=Feiertage!$A$19),U8*Zuschläge_24_31/100,IF(AZ8&gt;0,AZ8*Feiertag_mit/100,IF(AX8&gt;0,AX8*Zuschläge_Sa/100,IF(AY8&gt;0,AY8*Zuschlag_So/100,0))))</f>
        <v>0</v>
      </c>
      <c r="BB8" s="82">
        <f>IF(AND(B8&lt;&gt;0,G8=Voreinstellung_Übersicht!$D$41),IF(EG=1,W8*Über_klein/100,IF(EG=2,W8*Über_groß/100,"Fehler")),0)</f>
        <v>0</v>
      </c>
      <c r="BC8" s="299">
        <f ca="1">Feb!BC39</f>
        <v>0</v>
      </c>
      <c r="BD8" s="219">
        <f t="shared" ref="BD8:BD38" ca="1" si="37">IF(OR(AND(BC8&gt;=0,BC8&lt;=(grün_plus*BE8/100%)),AND(BC8&lt;=0,BC8&gt;=(grün_minus*BE8/100%))),1,IF(OR(AND(BC8&gt;0,BC8&lt;=(gelb_plus*BE8/100%)),AND(BC8&lt;0,BC8&gt;=(gelb_minus*BE8/100%))),2,3))</f>
        <v>1</v>
      </c>
      <c r="BE8" s="303">
        <f ca="1">IF(B8="","",INDIRECT(ADDRESS(MATCH(B8,Soll_AZ,1)+MATCH("Arbeitszeit 1 ab",Voreinstellung_Übersicht!B:B,0)-1,4,,,"Voreinstellung_Übersicht"),TRUE))</f>
        <v>1.6666666666666665</v>
      </c>
      <c r="BF8" s="1">
        <f>IF(OR(G8="WB",G8="DR",U8&gt;0),1,0)</f>
        <v>0</v>
      </c>
    </row>
    <row r="9" spans="1:58" s="1" customFormat="1" ht="15" x14ac:dyDescent="0.3">
      <c r="A9" s="218">
        <f t="shared" si="0"/>
        <v>9</v>
      </c>
      <c r="B9" s="47">
        <f t="shared" ref="B9:B38" si="38">B8+1</f>
        <v>42064</v>
      </c>
      <c r="C9" s="219">
        <f t="shared" si="1"/>
        <v>0</v>
      </c>
      <c r="D9" s="220" t="str">
        <f t="shared" si="2"/>
        <v/>
      </c>
      <c r="E9" s="298" t="str">
        <f t="shared" si="3"/>
        <v/>
      </c>
      <c r="F9" s="87">
        <f t="shared" si="4"/>
        <v>42064</v>
      </c>
      <c r="G9" s="147"/>
      <c r="H9" s="74"/>
      <c r="I9" s="75"/>
      <c r="J9" s="221">
        <f t="shared" si="5"/>
        <v>0</v>
      </c>
      <c r="K9" s="76"/>
      <c r="L9" s="221">
        <f>IF(J9-K9&gt;Pause_9,Pause_9p,IF(J9-K9&gt;Pause_6,Pause_6p,0))</f>
        <v>0</v>
      </c>
      <c r="M9" s="74"/>
      <c r="N9" s="75"/>
      <c r="O9" s="221">
        <f t="shared" si="6"/>
        <v>0</v>
      </c>
      <c r="P9" s="76"/>
      <c r="Q9" s="221">
        <f>IF(O9-P9&gt;Pause_9,Pause_9p,IF(O9-P9&gt;Pause_6,Pause_6p,0))</f>
        <v>0</v>
      </c>
      <c r="R9" s="221">
        <f>IF(J9+O9-K9-P9&gt;Pause_9,Pause_9p,IF(J9+O9-K9-P9&gt;Pause_6,Pause_6p,0))</f>
        <v>0</v>
      </c>
      <c r="S9" s="221">
        <f t="shared" si="7"/>
        <v>0</v>
      </c>
      <c r="T9" s="79">
        <f t="shared" si="8"/>
        <v>0</v>
      </c>
      <c r="U9" s="79">
        <f t="shared" ref="U9:U38" si="39">ROUND(T9-S9,10)</f>
        <v>0</v>
      </c>
      <c r="V9" s="80">
        <f t="shared" ca="1" si="9"/>
        <v>0</v>
      </c>
      <c r="W9" s="249" t="str">
        <f t="shared" ca="1" si="10"/>
        <v/>
      </c>
      <c r="X9" s="293"/>
      <c r="Y9" s="221">
        <f t="shared" si="11"/>
        <v>0</v>
      </c>
      <c r="Z9" s="299">
        <f ca="1">IF(B9="","",INDIRECT(ADDRESS(MATCH(B9,Soll_AZ,1)+MATCH("Arbeitszeit 1 ab",Voreinstellung_Übersicht!B:B,0)-1,WEEKDAY(B9,2)+4,,,"Voreinstellung_Übersicht"),TRUE))</f>
        <v>0</v>
      </c>
      <c r="AA9" s="300">
        <f t="shared" ref="AA9:AA38" ca="1" si="40">IF(W9="",AA8,AA8+W9)</f>
        <v>0</v>
      </c>
      <c r="AB9" s="219">
        <f t="shared" si="12"/>
        <v>0</v>
      </c>
      <c r="AC9" s="219">
        <f t="shared" si="13"/>
        <v>0</v>
      </c>
      <c r="AD9" s="219">
        <f t="shared" si="14"/>
        <v>0</v>
      </c>
      <c r="AE9" s="219">
        <f t="shared" si="15"/>
        <v>0</v>
      </c>
      <c r="AF9" s="219">
        <f t="shared" si="16"/>
        <v>0</v>
      </c>
      <c r="AG9" s="219">
        <f t="shared" si="17"/>
        <v>0</v>
      </c>
      <c r="AH9" s="219">
        <f t="shared" si="18"/>
        <v>0</v>
      </c>
      <c r="AI9" s="219">
        <f t="shared" si="19"/>
        <v>0</v>
      </c>
      <c r="AJ9" s="219">
        <f t="shared" si="20"/>
        <v>0</v>
      </c>
      <c r="AK9" s="219">
        <f t="shared" si="21"/>
        <v>0</v>
      </c>
      <c r="AL9" s="219">
        <f t="shared" si="22"/>
        <v>0</v>
      </c>
      <c r="AM9" s="219">
        <f t="shared" si="23"/>
        <v>0</v>
      </c>
      <c r="AN9" s="301">
        <f t="shared" si="24"/>
        <v>0</v>
      </c>
      <c r="AO9" s="301">
        <f t="shared" si="25"/>
        <v>0</v>
      </c>
      <c r="AP9" s="301">
        <f t="shared" si="26"/>
        <v>0</v>
      </c>
      <c r="AQ9" s="301">
        <f t="shared" si="27"/>
        <v>0</v>
      </c>
      <c r="AR9" s="301">
        <f t="shared" si="28"/>
        <v>0</v>
      </c>
      <c r="AS9" s="301">
        <f t="shared" si="29"/>
        <v>0</v>
      </c>
      <c r="AT9" s="302">
        <f t="shared" si="30"/>
        <v>0</v>
      </c>
      <c r="AU9" s="302">
        <f t="shared" si="31"/>
        <v>0</v>
      </c>
      <c r="AV9" s="81">
        <f t="shared" si="32"/>
        <v>0</v>
      </c>
      <c r="AW9" s="82">
        <f t="shared" si="33"/>
        <v>0</v>
      </c>
      <c r="AX9" s="81">
        <f t="shared" si="34"/>
        <v>0</v>
      </c>
      <c r="AY9" s="83">
        <f t="shared" si="35"/>
        <v>0</v>
      </c>
      <c r="AZ9" s="83">
        <f t="shared" si="36"/>
        <v>0</v>
      </c>
      <c r="BA9" s="82">
        <f>IF(OR(B9=Feiertage!$A$16,B9=Feiertage!$A$19),U9*Zuschläge_24_31/100,IF(AZ9&gt;0,AZ9*Feiertag_mit/100,IF(AX9&gt;0,AX9*Zuschläge_Sa/100,IF(AY9&gt;0,AY9*Zuschlag_So/100,0))))</f>
        <v>0</v>
      </c>
      <c r="BB9" s="82">
        <f>IF(AND(B9&lt;&gt;0,G9=Voreinstellung_Übersicht!$D$41),IF(EG=1,W9*Über_klein/100,IF(EG=2,W9*Über_groß/100,"Fehler")),0)</f>
        <v>0</v>
      </c>
      <c r="BC9" s="299">
        <f t="shared" ref="BC9:BC38" ca="1" si="41">IF(W9="",BC8,BC8+W9)</f>
        <v>0</v>
      </c>
      <c r="BD9" s="219">
        <f t="shared" ca="1" si="37"/>
        <v>1</v>
      </c>
      <c r="BE9" s="303">
        <f ca="1">IF(B9="","",INDIRECT(ADDRESS(MATCH(B9,Soll_AZ,1)+MATCH("Arbeitszeit 1 ab",Voreinstellung_Übersicht!B:B,0)-1,4,,,"Voreinstellung_Übersicht"),TRUE))</f>
        <v>1.6666666666666665</v>
      </c>
      <c r="BF9" s="1">
        <f t="shared" ref="BF9:BF38" si="42">IF(OR(G9="WB",G9="DR",U9&gt;0),1,0)</f>
        <v>0</v>
      </c>
    </row>
    <row r="10" spans="1:58" s="1" customFormat="1" ht="15" x14ac:dyDescent="0.3">
      <c r="A10" s="218">
        <f t="shared" si="0"/>
        <v>10</v>
      </c>
      <c r="B10" s="47">
        <f t="shared" si="38"/>
        <v>42065</v>
      </c>
      <c r="C10" s="219">
        <f t="shared" si="1"/>
        <v>0</v>
      </c>
      <c r="D10" s="220" t="str">
        <f t="shared" si="2"/>
        <v/>
      </c>
      <c r="E10" s="298" t="str">
        <f t="shared" si="3"/>
        <v/>
      </c>
      <c r="F10" s="87">
        <f t="shared" si="4"/>
        <v>42065</v>
      </c>
      <c r="G10" s="147"/>
      <c r="H10" s="74"/>
      <c r="I10" s="75"/>
      <c r="J10" s="221">
        <f t="shared" si="5"/>
        <v>0</v>
      </c>
      <c r="K10" s="76"/>
      <c r="L10" s="221">
        <f>IF(J10-K10&gt;=Pause_9,Pause_9p,IF(J10-K10&gt;=Pause_6,Pause_6p,0))</f>
        <v>0</v>
      </c>
      <c r="M10" s="74"/>
      <c r="N10" s="75"/>
      <c r="O10" s="221">
        <f t="shared" si="6"/>
        <v>0</v>
      </c>
      <c r="P10" s="76"/>
      <c r="Q10" s="221">
        <f>IF(O10-P10&gt;Pause_9,Pause_9p,IF(O10-P10&gt;Pause_6,Pause_6p,0))</f>
        <v>0</v>
      </c>
      <c r="R10" s="221">
        <f>IF(J10+O10-K10-P10&gt;Pause_9,Pause_9p,IF(J10+O10-K10-P10&gt;Pause_6,Pause_6p,0))</f>
        <v>0</v>
      </c>
      <c r="S10" s="221">
        <f t="shared" si="7"/>
        <v>0</v>
      </c>
      <c r="T10" s="79">
        <f t="shared" si="8"/>
        <v>0</v>
      </c>
      <c r="U10" s="79">
        <f t="shared" si="39"/>
        <v>0</v>
      </c>
      <c r="V10" s="80">
        <f t="shared" ca="1" si="9"/>
        <v>0</v>
      </c>
      <c r="W10" s="249" t="str">
        <f t="shared" ca="1" si="10"/>
        <v/>
      </c>
      <c r="X10" s="293"/>
      <c r="Y10" s="221">
        <f t="shared" si="11"/>
        <v>0</v>
      </c>
      <c r="Z10" s="299">
        <f ca="1">IF(B10="","",INDIRECT(ADDRESS(MATCH(B10,Soll_AZ,1)+MATCH("Arbeitszeit 1 ab",Voreinstellung_Übersicht!B:B,0)-1,WEEKDAY(B10,2)+4,,,"Voreinstellung_Übersicht"),TRUE))</f>
        <v>0</v>
      </c>
      <c r="AA10" s="300">
        <f t="shared" ca="1" si="40"/>
        <v>0</v>
      </c>
      <c r="AB10" s="219">
        <f t="shared" si="12"/>
        <v>0</v>
      </c>
      <c r="AC10" s="219">
        <f t="shared" si="13"/>
        <v>0</v>
      </c>
      <c r="AD10" s="219">
        <f t="shared" si="14"/>
        <v>0</v>
      </c>
      <c r="AE10" s="219">
        <f t="shared" si="15"/>
        <v>0</v>
      </c>
      <c r="AF10" s="219">
        <f t="shared" si="16"/>
        <v>0</v>
      </c>
      <c r="AG10" s="219">
        <f t="shared" si="17"/>
        <v>0</v>
      </c>
      <c r="AH10" s="219">
        <f t="shared" si="18"/>
        <v>0</v>
      </c>
      <c r="AI10" s="219">
        <f t="shared" si="19"/>
        <v>0</v>
      </c>
      <c r="AJ10" s="219">
        <f t="shared" si="20"/>
        <v>0</v>
      </c>
      <c r="AK10" s="219">
        <f t="shared" si="21"/>
        <v>0</v>
      </c>
      <c r="AL10" s="219">
        <f t="shared" si="22"/>
        <v>0</v>
      </c>
      <c r="AM10" s="219">
        <f t="shared" si="23"/>
        <v>0</v>
      </c>
      <c r="AN10" s="301">
        <f t="shared" si="24"/>
        <v>0</v>
      </c>
      <c r="AO10" s="301">
        <f t="shared" si="25"/>
        <v>0</v>
      </c>
      <c r="AP10" s="301">
        <f t="shared" si="26"/>
        <v>0</v>
      </c>
      <c r="AQ10" s="301">
        <f t="shared" si="27"/>
        <v>0</v>
      </c>
      <c r="AR10" s="301">
        <f t="shared" si="28"/>
        <v>0</v>
      </c>
      <c r="AS10" s="301">
        <f t="shared" si="29"/>
        <v>0</v>
      </c>
      <c r="AT10" s="302">
        <f t="shared" si="30"/>
        <v>0</v>
      </c>
      <c r="AU10" s="302">
        <f t="shared" si="31"/>
        <v>0</v>
      </c>
      <c r="AV10" s="81">
        <f t="shared" si="32"/>
        <v>0</v>
      </c>
      <c r="AW10" s="82">
        <f t="shared" si="33"/>
        <v>0</v>
      </c>
      <c r="AX10" s="81">
        <f t="shared" si="34"/>
        <v>0</v>
      </c>
      <c r="AY10" s="83">
        <f t="shared" si="35"/>
        <v>0</v>
      </c>
      <c r="AZ10" s="83">
        <f t="shared" si="36"/>
        <v>0</v>
      </c>
      <c r="BA10" s="82">
        <f>IF(OR(B10=Feiertage!$A$16,B10=Feiertage!$A$19),U10*Zuschläge_24_31/100,IF(AZ10&gt;0,AZ10*Feiertag_mit/100,IF(AX10&gt;0,AX10*Zuschläge_Sa/100,IF(AY10&gt;0,AY10*Zuschlag_So/100,0))))</f>
        <v>0</v>
      </c>
      <c r="BB10" s="82">
        <f>IF(AND(B10&lt;&gt;0,G10=Voreinstellung_Übersicht!$D$41),IF(EG=1,W10*Über_klein/100,IF(EG=2,W10*Über_groß/100,"Fehler")),0)</f>
        <v>0</v>
      </c>
      <c r="BC10" s="299">
        <f t="shared" ca="1" si="41"/>
        <v>0</v>
      </c>
      <c r="BD10" s="219">
        <f t="shared" ca="1" si="37"/>
        <v>1</v>
      </c>
      <c r="BE10" s="303">
        <f ca="1">IF(B10="","",INDIRECT(ADDRESS(MATCH(B10,Soll_AZ,1)+MATCH("Arbeitszeit 1 ab",Voreinstellung_Übersicht!B:B,0)-1,4,,,"Voreinstellung_Übersicht"),TRUE))</f>
        <v>1.6666666666666665</v>
      </c>
      <c r="BF10" s="1">
        <f t="shared" si="42"/>
        <v>0</v>
      </c>
    </row>
    <row r="11" spans="1:58" s="1" customFormat="1" ht="15" x14ac:dyDescent="0.3">
      <c r="A11" s="218">
        <f t="shared" si="0"/>
        <v>10</v>
      </c>
      <c r="B11" s="47">
        <f t="shared" si="38"/>
        <v>42066</v>
      </c>
      <c r="C11" s="219">
        <f t="shared" si="1"/>
        <v>1</v>
      </c>
      <c r="D11" s="220" t="str">
        <f t="shared" si="2"/>
        <v/>
      </c>
      <c r="E11" s="298" t="str">
        <f t="shared" si="3"/>
        <v/>
      </c>
      <c r="F11" s="87">
        <f t="shared" si="4"/>
        <v>42066</v>
      </c>
      <c r="G11" s="147"/>
      <c r="H11" s="74"/>
      <c r="I11" s="75"/>
      <c r="J11" s="221">
        <f t="shared" si="5"/>
        <v>0</v>
      </c>
      <c r="K11" s="76"/>
      <c r="L11" s="221">
        <f>IF(J11-K11&gt;=Pause_9,Pause_9p,IF(J11-K11&gt;=Pause_6,Pause_6p,0))</f>
        <v>0</v>
      </c>
      <c r="M11" s="74"/>
      <c r="N11" s="75"/>
      <c r="O11" s="221">
        <f t="shared" si="6"/>
        <v>0</v>
      </c>
      <c r="P11" s="76"/>
      <c r="Q11" s="221">
        <f>IF(O11-P11&gt;Pause_9,Pause_9p,IF(O11-P11&gt;Pause_6,Pause_6p,0))</f>
        <v>0</v>
      </c>
      <c r="R11" s="221">
        <f>IF(J11+O11-K11-P11&gt;Pause_9,Pause_9p,IF(J11+O11-K11-P11&gt;Pause_6,Pause_6p,0))</f>
        <v>0</v>
      </c>
      <c r="S11" s="221">
        <f t="shared" si="7"/>
        <v>0</v>
      </c>
      <c r="T11" s="79">
        <f t="shared" si="8"/>
        <v>0</v>
      </c>
      <c r="U11" s="79">
        <f t="shared" si="39"/>
        <v>0</v>
      </c>
      <c r="V11" s="80">
        <f t="shared" ca="1" si="9"/>
        <v>0.33333333329999998</v>
      </c>
      <c r="W11" s="249" t="str">
        <f t="shared" ca="1" si="10"/>
        <v/>
      </c>
      <c r="X11" s="293"/>
      <c r="Y11" s="221">
        <f t="shared" si="11"/>
        <v>0</v>
      </c>
      <c r="Z11" s="299">
        <f ca="1">IF(B11="","",INDIRECT(ADDRESS(MATCH(B11,Soll_AZ,1)+MATCH("Arbeitszeit 1 ab",Voreinstellung_Übersicht!B:B,0)-1,WEEKDAY(B11,2)+4,,,"Voreinstellung_Übersicht"),TRUE))</f>
        <v>0.33333333333333331</v>
      </c>
      <c r="AA11" s="300">
        <f t="shared" ca="1" si="40"/>
        <v>0</v>
      </c>
      <c r="AB11" s="219">
        <f t="shared" si="12"/>
        <v>0</v>
      </c>
      <c r="AC11" s="219">
        <f t="shared" si="13"/>
        <v>0</v>
      </c>
      <c r="AD11" s="219">
        <f t="shared" si="14"/>
        <v>0</v>
      </c>
      <c r="AE11" s="219">
        <f t="shared" si="15"/>
        <v>0</v>
      </c>
      <c r="AF11" s="219">
        <f t="shared" si="16"/>
        <v>0</v>
      </c>
      <c r="AG11" s="219">
        <f t="shared" si="17"/>
        <v>0</v>
      </c>
      <c r="AH11" s="219">
        <f t="shared" si="18"/>
        <v>0</v>
      </c>
      <c r="AI11" s="219">
        <f t="shared" si="19"/>
        <v>0</v>
      </c>
      <c r="AJ11" s="219">
        <f t="shared" si="20"/>
        <v>0</v>
      </c>
      <c r="AK11" s="219">
        <f t="shared" si="21"/>
        <v>0</v>
      </c>
      <c r="AL11" s="219">
        <f t="shared" si="22"/>
        <v>0</v>
      </c>
      <c r="AM11" s="219">
        <f t="shared" si="23"/>
        <v>0</v>
      </c>
      <c r="AN11" s="301">
        <f t="shared" si="24"/>
        <v>0</v>
      </c>
      <c r="AO11" s="301">
        <f t="shared" si="25"/>
        <v>0</v>
      </c>
      <c r="AP11" s="301">
        <f t="shared" si="26"/>
        <v>0</v>
      </c>
      <c r="AQ11" s="301">
        <f t="shared" si="27"/>
        <v>0</v>
      </c>
      <c r="AR11" s="301">
        <f t="shared" si="28"/>
        <v>0</v>
      </c>
      <c r="AS11" s="301">
        <f t="shared" si="29"/>
        <v>0</v>
      </c>
      <c r="AT11" s="302">
        <f t="shared" si="30"/>
        <v>0</v>
      </c>
      <c r="AU11" s="302">
        <f t="shared" si="31"/>
        <v>0</v>
      </c>
      <c r="AV11" s="81">
        <f t="shared" si="32"/>
        <v>0</v>
      </c>
      <c r="AW11" s="82">
        <f t="shared" si="33"/>
        <v>0</v>
      </c>
      <c r="AX11" s="81">
        <f t="shared" si="34"/>
        <v>0</v>
      </c>
      <c r="AY11" s="83">
        <f t="shared" si="35"/>
        <v>0</v>
      </c>
      <c r="AZ11" s="83">
        <f t="shared" si="36"/>
        <v>0</v>
      </c>
      <c r="BA11" s="82">
        <f>IF(OR(B11=Feiertage!$A$16,B11=Feiertage!$A$19),U11*Zuschläge_24_31/100,IF(AZ11&gt;0,AZ11*Feiertag_mit/100,IF(AX11&gt;0,AX11*Zuschläge_Sa/100,IF(AY11&gt;0,AY11*Zuschlag_So/100,0))))</f>
        <v>0</v>
      </c>
      <c r="BB11" s="82">
        <f>IF(AND(B11&lt;&gt;0,G11=Voreinstellung_Übersicht!$D$41),IF(EG=1,W11*Über_klein/100,IF(EG=2,W11*Über_groß/100,"Fehler")),0)</f>
        <v>0</v>
      </c>
      <c r="BC11" s="299">
        <f t="shared" ca="1" si="41"/>
        <v>0</v>
      </c>
      <c r="BD11" s="219">
        <f t="shared" ca="1" si="37"/>
        <v>1</v>
      </c>
      <c r="BE11" s="303">
        <f ca="1">IF(B11="","",INDIRECT(ADDRESS(MATCH(B11,Soll_AZ,1)+MATCH("Arbeitszeit 1 ab",Voreinstellung_Übersicht!B:B,0)-1,4,,,"Voreinstellung_Übersicht"),TRUE))</f>
        <v>1.6666666666666665</v>
      </c>
      <c r="BF11" s="1">
        <f t="shared" si="42"/>
        <v>0</v>
      </c>
    </row>
    <row r="12" spans="1:58" s="1" customFormat="1" ht="15" x14ac:dyDescent="0.3">
      <c r="A12" s="218">
        <f t="shared" si="0"/>
        <v>10</v>
      </c>
      <c r="B12" s="47">
        <f t="shared" si="38"/>
        <v>42067</v>
      </c>
      <c r="C12" s="219">
        <f t="shared" si="1"/>
        <v>1</v>
      </c>
      <c r="D12" s="220" t="str">
        <f t="shared" si="2"/>
        <v/>
      </c>
      <c r="E12" s="298" t="str">
        <f t="shared" si="3"/>
        <v/>
      </c>
      <c r="F12" s="87">
        <f t="shared" si="4"/>
        <v>42067</v>
      </c>
      <c r="G12" s="147"/>
      <c r="H12" s="74"/>
      <c r="I12" s="75"/>
      <c r="J12" s="221">
        <f t="shared" si="5"/>
        <v>0</v>
      </c>
      <c r="K12" s="76"/>
      <c r="L12" s="221">
        <f t="shared" ref="L12:L38" si="43">IF(J12&gt;=Pause_9,Pause_9p,IF(J12&gt;=Pause_6,Pause_6p,0))</f>
        <v>0</v>
      </c>
      <c r="M12" s="74"/>
      <c r="N12" s="75"/>
      <c r="O12" s="221">
        <f t="shared" si="6"/>
        <v>0</v>
      </c>
      <c r="P12" s="76"/>
      <c r="Q12" s="221">
        <f t="shared" ref="Q12:Q38" si="44">IF(O12&gt;Pause_9,Pause_9p,IF(O12&gt;=Pause_6,Pause_6p,0))</f>
        <v>0</v>
      </c>
      <c r="R12" s="221">
        <f t="shared" ref="R12:R38" si="45">IF(J12+O12&gt;=Pause_9,Pause_9p,IF(J12+O12&gt;=Pause_6,Pause_6p,0))</f>
        <v>0</v>
      </c>
      <c r="S12" s="221">
        <f t="shared" si="7"/>
        <v>0</v>
      </c>
      <c r="T12" s="79">
        <f t="shared" si="8"/>
        <v>0</v>
      </c>
      <c r="U12" s="79">
        <f t="shared" si="39"/>
        <v>0</v>
      </c>
      <c r="V12" s="80">
        <f t="shared" ca="1" si="9"/>
        <v>0.33333333329999998</v>
      </c>
      <c r="W12" s="249" t="str">
        <f t="shared" ca="1" si="10"/>
        <v/>
      </c>
      <c r="X12" s="293"/>
      <c r="Y12" s="221">
        <f t="shared" si="11"/>
        <v>0</v>
      </c>
      <c r="Z12" s="299">
        <f ca="1">IF(B12="","",INDIRECT(ADDRESS(MATCH(B12,Soll_AZ,1)+MATCH("Arbeitszeit 1 ab",Voreinstellung_Übersicht!B:B,0)-1,WEEKDAY(B12,2)+4,,,"Voreinstellung_Übersicht"),TRUE))</f>
        <v>0.33333333333333331</v>
      </c>
      <c r="AA12" s="300">
        <f t="shared" ca="1" si="40"/>
        <v>0</v>
      </c>
      <c r="AB12" s="219">
        <f t="shared" si="12"/>
        <v>0</v>
      </c>
      <c r="AC12" s="219">
        <f t="shared" si="13"/>
        <v>0</v>
      </c>
      <c r="AD12" s="219">
        <f t="shared" si="14"/>
        <v>0</v>
      </c>
      <c r="AE12" s="219">
        <f t="shared" si="15"/>
        <v>0</v>
      </c>
      <c r="AF12" s="219">
        <f t="shared" si="16"/>
        <v>0</v>
      </c>
      <c r="AG12" s="219">
        <f t="shared" si="17"/>
        <v>0</v>
      </c>
      <c r="AH12" s="219">
        <f t="shared" si="18"/>
        <v>0</v>
      </c>
      <c r="AI12" s="219">
        <f t="shared" si="19"/>
        <v>0</v>
      </c>
      <c r="AJ12" s="219">
        <f t="shared" si="20"/>
        <v>0</v>
      </c>
      <c r="AK12" s="219">
        <f t="shared" si="21"/>
        <v>0</v>
      </c>
      <c r="AL12" s="219">
        <f t="shared" si="22"/>
        <v>0</v>
      </c>
      <c r="AM12" s="219">
        <f t="shared" si="23"/>
        <v>0</v>
      </c>
      <c r="AN12" s="301">
        <f t="shared" si="24"/>
        <v>0</v>
      </c>
      <c r="AO12" s="301">
        <f t="shared" si="25"/>
        <v>0</v>
      </c>
      <c r="AP12" s="301">
        <f t="shared" si="26"/>
        <v>0</v>
      </c>
      <c r="AQ12" s="301">
        <f t="shared" si="27"/>
        <v>0</v>
      </c>
      <c r="AR12" s="301">
        <f t="shared" si="28"/>
        <v>0</v>
      </c>
      <c r="AS12" s="301">
        <f t="shared" si="29"/>
        <v>0</v>
      </c>
      <c r="AT12" s="302">
        <f t="shared" si="30"/>
        <v>0</v>
      </c>
      <c r="AU12" s="302">
        <f t="shared" si="31"/>
        <v>0</v>
      </c>
      <c r="AV12" s="81">
        <f t="shared" si="32"/>
        <v>0</v>
      </c>
      <c r="AW12" s="82">
        <f t="shared" si="33"/>
        <v>0</v>
      </c>
      <c r="AX12" s="81">
        <f t="shared" si="34"/>
        <v>0</v>
      </c>
      <c r="AY12" s="83">
        <f t="shared" si="35"/>
        <v>0</v>
      </c>
      <c r="AZ12" s="83">
        <f t="shared" si="36"/>
        <v>0</v>
      </c>
      <c r="BA12" s="82">
        <f>IF(OR(B12=Feiertage!$A$16,B12=Feiertage!$A$19),U12*Zuschläge_24_31/100,IF(AZ12&gt;0,AZ12*Feiertag_mit/100,IF(AX12&gt;0,AX12*Zuschläge_Sa/100,IF(AY12&gt;0,AY12*Zuschlag_So/100,0))))</f>
        <v>0</v>
      </c>
      <c r="BB12" s="82">
        <f>IF(AND(B12&lt;&gt;0,G12=Voreinstellung_Übersicht!$D$41),IF(EG=1,W12*Über_klein/100,IF(EG=2,W12*Über_groß/100,"Fehler")),0)</f>
        <v>0</v>
      </c>
      <c r="BC12" s="299">
        <f t="shared" ca="1" si="41"/>
        <v>0</v>
      </c>
      <c r="BD12" s="219">
        <f t="shared" ca="1" si="37"/>
        <v>1</v>
      </c>
      <c r="BE12" s="303">
        <f ca="1">IF(B12="","",INDIRECT(ADDRESS(MATCH(B12,Soll_AZ,1)+MATCH("Arbeitszeit 1 ab",Voreinstellung_Übersicht!B:B,0)-1,4,,,"Voreinstellung_Übersicht"),TRUE))</f>
        <v>1.6666666666666665</v>
      </c>
      <c r="BF12" s="1">
        <f t="shared" si="42"/>
        <v>0</v>
      </c>
    </row>
    <row r="13" spans="1:58" s="1" customFormat="1" ht="15" x14ac:dyDescent="0.3">
      <c r="A13" s="218">
        <f t="shared" si="0"/>
        <v>10</v>
      </c>
      <c r="B13" s="47">
        <f t="shared" si="38"/>
        <v>42068</v>
      </c>
      <c r="C13" s="219">
        <f t="shared" si="1"/>
        <v>1</v>
      </c>
      <c r="D13" s="220" t="str">
        <f t="shared" si="2"/>
        <v/>
      </c>
      <c r="E13" s="298" t="str">
        <f t="shared" si="3"/>
        <v/>
      </c>
      <c r="F13" s="87">
        <f t="shared" si="4"/>
        <v>42068</v>
      </c>
      <c r="G13" s="147"/>
      <c r="H13" s="74"/>
      <c r="I13" s="75"/>
      <c r="J13" s="221">
        <f t="shared" si="5"/>
        <v>0</v>
      </c>
      <c r="K13" s="76"/>
      <c r="L13" s="221">
        <f t="shared" si="43"/>
        <v>0</v>
      </c>
      <c r="M13" s="74"/>
      <c r="N13" s="75"/>
      <c r="O13" s="221">
        <f t="shared" si="6"/>
        <v>0</v>
      </c>
      <c r="P13" s="76"/>
      <c r="Q13" s="221">
        <f t="shared" si="44"/>
        <v>0</v>
      </c>
      <c r="R13" s="221">
        <f t="shared" si="45"/>
        <v>0</v>
      </c>
      <c r="S13" s="221">
        <f t="shared" si="7"/>
        <v>0</v>
      </c>
      <c r="T13" s="79">
        <f t="shared" si="8"/>
        <v>0</v>
      </c>
      <c r="U13" s="79">
        <f t="shared" si="39"/>
        <v>0</v>
      </c>
      <c r="V13" s="80">
        <f t="shared" ca="1" si="9"/>
        <v>0.33333333329999998</v>
      </c>
      <c r="W13" s="249" t="str">
        <f t="shared" ca="1" si="10"/>
        <v/>
      </c>
      <c r="X13" s="293"/>
      <c r="Y13" s="221">
        <f t="shared" si="11"/>
        <v>0</v>
      </c>
      <c r="Z13" s="299">
        <f ca="1">IF(B13="","",INDIRECT(ADDRESS(MATCH(B13,Soll_AZ,1)+MATCH("Arbeitszeit 1 ab",Voreinstellung_Übersicht!B:B,0)-1,WEEKDAY(B13,2)+4,,,"Voreinstellung_Übersicht"),TRUE))</f>
        <v>0.33333333333333331</v>
      </c>
      <c r="AA13" s="300">
        <f t="shared" ca="1" si="40"/>
        <v>0</v>
      </c>
      <c r="AB13" s="219">
        <f t="shared" si="12"/>
        <v>0</v>
      </c>
      <c r="AC13" s="219">
        <f t="shared" si="13"/>
        <v>0</v>
      </c>
      <c r="AD13" s="219">
        <f t="shared" si="14"/>
        <v>0</v>
      </c>
      <c r="AE13" s="219">
        <f t="shared" si="15"/>
        <v>0</v>
      </c>
      <c r="AF13" s="219">
        <f t="shared" si="16"/>
        <v>0</v>
      </c>
      <c r="AG13" s="219">
        <f t="shared" si="17"/>
        <v>0</v>
      </c>
      <c r="AH13" s="219">
        <f t="shared" si="18"/>
        <v>0</v>
      </c>
      <c r="AI13" s="219">
        <f t="shared" si="19"/>
        <v>0</v>
      </c>
      <c r="AJ13" s="219">
        <f t="shared" si="20"/>
        <v>0</v>
      </c>
      <c r="AK13" s="219">
        <f t="shared" si="21"/>
        <v>0</v>
      </c>
      <c r="AL13" s="219">
        <f t="shared" si="22"/>
        <v>0</v>
      </c>
      <c r="AM13" s="219">
        <f t="shared" si="23"/>
        <v>0</v>
      </c>
      <c r="AN13" s="301">
        <f t="shared" si="24"/>
        <v>0</v>
      </c>
      <c r="AO13" s="301">
        <f t="shared" si="25"/>
        <v>0</v>
      </c>
      <c r="AP13" s="301">
        <f t="shared" si="26"/>
        <v>0</v>
      </c>
      <c r="AQ13" s="301">
        <f t="shared" si="27"/>
        <v>0</v>
      </c>
      <c r="AR13" s="301">
        <f t="shared" si="28"/>
        <v>0</v>
      </c>
      <c r="AS13" s="301">
        <f t="shared" si="29"/>
        <v>0</v>
      </c>
      <c r="AT13" s="302">
        <f t="shared" si="30"/>
        <v>0</v>
      </c>
      <c r="AU13" s="302">
        <f t="shared" si="31"/>
        <v>0</v>
      </c>
      <c r="AV13" s="81">
        <f t="shared" si="32"/>
        <v>0</v>
      </c>
      <c r="AW13" s="82">
        <f t="shared" si="33"/>
        <v>0</v>
      </c>
      <c r="AX13" s="81">
        <f t="shared" si="34"/>
        <v>0</v>
      </c>
      <c r="AY13" s="83">
        <f t="shared" si="35"/>
        <v>0</v>
      </c>
      <c r="AZ13" s="83">
        <f t="shared" si="36"/>
        <v>0</v>
      </c>
      <c r="BA13" s="82">
        <f>IF(OR(B13=Feiertage!$A$16,B13=Feiertage!$A$19),U13*Zuschläge_24_31/100,IF(AZ13&gt;0,AZ13*Feiertag_mit/100,IF(AX13&gt;0,AX13*Zuschläge_Sa/100,IF(AY13&gt;0,AY13*Zuschlag_So/100,0))))</f>
        <v>0</v>
      </c>
      <c r="BB13" s="82">
        <f>IF(AND(B13&lt;&gt;0,G13=Voreinstellung_Übersicht!$D$41),IF(EG=1,W13*Über_klein/100,IF(EG=2,W13*Über_groß/100,"Fehler")),0)</f>
        <v>0</v>
      </c>
      <c r="BC13" s="299">
        <f t="shared" ca="1" si="41"/>
        <v>0</v>
      </c>
      <c r="BD13" s="219">
        <f t="shared" ca="1" si="37"/>
        <v>1</v>
      </c>
      <c r="BE13" s="303">
        <f ca="1">IF(B13="","",INDIRECT(ADDRESS(MATCH(B13,Soll_AZ,1)+MATCH("Arbeitszeit 1 ab",Voreinstellung_Übersicht!B:B,0)-1,4,,,"Voreinstellung_Übersicht"),TRUE))</f>
        <v>1.6666666666666665</v>
      </c>
      <c r="BF13" s="1">
        <f t="shared" si="42"/>
        <v>0</v>
      </c>
    </row>
    <row r="14" spans="1:58" s="1" customFormat="1" ht="15" x14ac:dyDescent="0.3">
      <c r="A14" s="218">
        <f t="shared" si="0"/>
        <v>10</v>
      </c>
      <c r="B14" s="47">
        <f t="shared" si="38"/>
        <v>42069</v>
      </c>
      <c r="C14" s="219">
        <f t="shared" si="1"/>
        <v>1</v>
      </c>
      <c r="D14" s="220" t="str">
        <f t="shared" si="2"/>
        <v/>
      </c>
      <c r="E14" s="298" t="str">
        <f t="shared" si="3"/>
        <v/>
      </c>
      <c r="F14" s="87">
        <f t="shared" si="4"/>
        <v>42069</v>
      </c>
      <c r="G14" s="147"/>
      <c r="H14" s="74"/>
      <c r="I14" s="75"/>
      <c r="J14" s="221">
        <f t="shared" si="5"/>
        <v>0</v>
      </c>
      <c r="K14" s="76"/>
      <c r="L14" s="221">
        <f t="shared" si="43"/>
        <v>0</v>
      </c>
      <c r="M14" s="74"/>
      <c r="N14" s="75"/>
      <c r="O14" s="221">
        <f t="shared" si="6"/>
        <v>0</v>
      </c>
      <c r="P14" s="76"/>
      <c r="Q14" s="221">
        <f t="shared" si="44"/>
        <v>0</v>
      </c>
      <c r="R14" s="221">
        <f t="shared" si="45"/>
        <v>0</v>
      </c>
      <c r="S14" s="221">
        <f t="shared" si="7"/>
        <v>0</v>
      </c>
      <c r="T14" s="79">
        <f t="shared" si="8"/>
        <v>0</v>
      </c>
      <c r="U14" s="79">
        <f t="shared" si="39"/>
        <v>0</v>
      </c>
      <c r="V14" s="80">
        <f t="shared" ca="1" si="9"/>
        <v>0.33333333329999998</v>
      </c>
      <c r="W14" s="249" t="str">
        <f t="shared" ca="1" si="10"/>
        <v/>
      </c>
      <c r="X14" s="293"/>
      <c r="Y14" s="221">
        <f t="shared" si="11"/>
        <v>0</v>
      </c>
      <c r="Z14" s="299">
        <f ca="1">IF(B14="","",INDIRECT(ADDRESS(MATCH(B14,Soll_AZ,1)+MATCH("Arbeitszeit 1 ab",Voreinstellung_Übersicht!B:B,0)-1,WEEKDAY(B14,2)+4,,,"Voreinstellung_Übersicht"),TRUE))</f>
        <v>0.33333333333333331</v>
      </c>
      <c r="AA14" s="300">
        <f t="shared" ca="1" si="40"/>
        <v>0</v>
      </c>
      <c r="AB14" s="219">
        <f t="shared" si="12"/>
        <v>0</v>
      </c>
      <c r="AC14" s="219">
        <f t="shared" si="13"/>
        <v>0</v>
      </c>
      <c r="AD14" s="219">
        <f t="shared" si="14"/>
        <v>0</v>
      </c>
      <c r="AE14" s="219">
        <f t="shared" si="15"/>
        <v>0</v>
      </c>
      <c r="AF14" s="219">
        <f t="shared" si="16"/>
        <v>0</v>
      </c>
      <c r="AG14" s="219">
        <f t="shared" si="17"/>
        <v>0</v>
      </c>
      <c r="AH14" s="219">
        <f t="shared" si="18"/>
        <v>0</v>
      </c>
      <c r="AI14" s="219">
        <f t="shared" si="19"/>
        <v>0</v>
      </c>
      <c r="AJ14" s="219">
        <f t="shared" si="20"/>
        <v>0</v>
      </c>
      <c r="AK14" s="219">
        <f t="shared" si="21"/>
        <v>0</v>
      </c>
      <c r="AL14" s="219">
        <f t="shared" si="22"/>
        <v>0</v>
      </c>
      <c r="AM14" s="219">
        <f t="shared" si="23"/>
        <v>0</v>
      </c>
      <c r="AN14" s="301">
        <f t="shared" si="24"/>
        <v>0</v>
      </c>
      <c r="AO14" s="301">
        <f t="shared" si="25"/>
        <v>0</v>
      </c>
      <c r="AP14" s="301">
        <f t="shared" si="26"/>
        <v>0</v>
      </c>
      <c r="AQ14" s="301">
        <f t="shared" si="27"/>
        <v>0</v>
      </c>
      <c r="AR14" s="301">
        <f t="shared" si="28"/>
        <v>0</v>
      </c>
      <c r="AS14" s="301">
        <f t="shared" si="29"/>
        <v>0</v>
      </c>
      <c r="AT14" s="302">
        <f t="shared" si="30"/>
        <v>0</v>
      </c>
      <c r="AU14" s="302">
        <f t="shared" si="31"/>
        <v>0</v>
      </c>
      <c r="AV14" s="81">
        <f t="shared" si="32"/>
        <v>0</v>
      </c>
      <c r="AW14" s="82">
        <f t="shared" si="33"/>
        <v>0</v>
      </c>
      <c r="AX14" s="81">
        <f t="shared" si="34"/>
        <v>0</v>
      </c>
      <c r="AY14" s="83">
        <f t="shared" si="35"/>
        <v>0</v>
      </c>
      <c r="AZ14" s="83">
        <f t="shared" si="36"/>
        <v>0</v>
      </c>
      <c r="BA14" s="82">
        <f>IF(OR(B14=Feiertage!$A$16,B14=Feiertage!$A$19),U14*Zuschläge_24_31/100,IF(AZ14&gt;0,AZ14*Feiertag_mit/100,IF(AX14&gt;0,AX14*Zuschläge_Sa/100,IF(AY14&gt;0,AY14*Zuschlag_So/100,0))))</f>
        <v>0</v>
      </c>
      <c r="BB14" s="82">
        <f>IF(AND(B14&lt;&gt;0,G14=Voreinstellung_Übersicht!$D$41),IF(EG=1,W14*Über_klein/100,IF(EG=2,W14*Über_groß/100,"Fehler")),0)</f>
        <v>0</v>
      </c>
      <c r="BC14" s="299">
        <f t="shared" ca="1" si="41"/>
        <v>0</v>
      </c>
      <c r="BD14" s="219">
        <f t="shared" ca="1" si="37"/>
        <v>1</v>
      </c>
      <c r="BE14" s="303">
        <f ca="1">IF(B14="","",INDIRECT(ADDRESS(MATCH(B14,Soll_AZ,1)+MATCH("Arbeitszeit 1 ab",Voreinstellung_Übersicht!B:B,0)-1,4,,,"Voreinstellung_Übersicht"),TRUE))</f>
        <v>1.6666666666666665</v>
      </c>
      <c r="BF14" s="1">
        <f t="shared" si="42"/>
        <v>0</v>
      </c>
    </row>
    <row r="15" spans="1:58" s="1" customFormat="1" ht="15" x14ac:dyDescent="0.3">
      <c r="A15" s="218">
        <f t="shared" si="0"/>
        <v>10</v>
      </c>
      <c r="B15" s="47">
        <f t="shared" si="38"/>
        <v>42070</v>
      </c>
      <c r="C15" s="219">
        <f t="shared" si="1"/>
        <v>1</v>
      </c>
      <c r="D15" s="220" t="str">
        <f t="shared" si="2"/>
        <v/>
      </c>
      <c r="E15" s="298" t="str">
        <f t="shared" si="3"/>
        <v/>
      </c>
      <c r="F15" s="87">
        <f t="shared" si="4"/>
        <v>42070</v>
      </c>
      <c r="G15" s="147"/>
      <c r="H15" s="74"/>
      <c r="I15" s="75"/>
      <c r="J15" s="221">
        <f t="shared" si="5"/>
        <v>0</v>
      </c>
      <c r="K15" s="76"/>
      <c r="L15" s="221">
        <f t="shared" si="43"/>
        <v>0</v>
      </c>
      <c r="M15" s="74"/>
      <c r="N15" s="75"/>
      <c r="O15" s="221">
        <f t="shared" si="6"/>
        <v>0</v>
      </c>
      <c r="P15" s="76"/>
      <c r="Q15" s="221">
        <f t="shared" si="44"/>
        <v>0</v>
      </c>
      <c r="R15" s="221">
        <f t="shared" si="45"/>
        <v>0</v>
      </c>
      <c r="S15" s="221">
        <f t="shared" si="7"/>
        <v>0</v>
      </c>
      <c r="T15" s="79">
        <f t="shared" si="8"/>
        <v>0</v>
      </c>
      <c r="U15" s="79">
        <f t="shared" si="39"/>
        <v>0</v>
      </c>
      <c r="V15" s="80">
        <f t="shared" ca="1" si="9"/>
        <v>0.33333333329999998</v>
      </c>
      <c r="W15" s="249" t="str">
        <f t="shared" ca="1" si="10"/>
        <v/>
      </c>
      <c r="X15" s="293"/>
      <c r="Y15" s="221">
        <f t="shared" si="11"/>
        <v>0</v>
      </c>
      <c r="Z15" s="299">
        <f ca="1">IF(B15="","",INDIRECT(ADDRESS(MATCH(B15,Soll_AZ,1)+MATCH("Arbeitszeit 1 ab",Voreinstellung_Übersicht!B:B,0)-1,WEEKDAY(B15,2)+4,,,"Voreinstellung_Übersicht"),TRUE))</f>
        <v>0.33333333333333331</v>
      </c>
      <c r="AA15" s="300">
        <f t="shared" ca="1" si="40"/>
        <v>0</v>
      </c>
      <c r="AB15" s="219">
        <f t="shared" si="12"/>
        <v>0</v>
      </c>
      <c r="AC15" s="219">
        <f t="shared" si="13"/>
        <v>0</v>
      </c>
      <c r="AD15" s="219">
        <f t="shared" si="14"/>
        <v>0</v>
      </c>
      <c r="AE15" s="219">
        <f t="shared" si="15"/>
        <v>0</v>
      </c>
      <c r="AF15" s="219">
        <f t="shared" si="16"/>
        <v>0</v>
      </c>
      <c r="AG15" s="219">
        <f t="shared" si="17"/>
        <v>0</v>
      </c>
      <c r="AH15" s="219">
        <f t="shared" si="18"/>
        <v>0</v>
      </c>
      <c r="AI15" s="219">
        <f t="shared" si="19"/>
        <v>0</v>
      </c>
      <c r="AJ15" s="219">
        <f t="shared" si="20"/>
        <v>0</v>
      </c>
      <c r="AK15" s="219">
        <f t="shared" si="21"/>
        <v>0</v>
      </c>
      <c r="AL15" s="219">
        <f t="shared" si="22"/>
        <v>0</v>
      </c>
      <c r="AM15" s="219">
        <f t="shared" si="23"/>
        <v>0</v>
      </c>
      <c r="AN15" s="301">
        <f t="shared" si="24"/>
        <v>0</v>
      </c>
      <c r="AO15" s="301">
        <f t="shared" si="25"/>
        <v>0</v>
      </c>
      <c r="AP15" s="301">
        <f t="shared" si="26"/>
        <v>0</v>
      </c>
      <c r="AQ15" s="301">
        <f t="shared" si="27"/>
        <v>0</v>
      </c>
      <c r="AR15" s="301">
        <f t="shared" si="28"/>
        <v>0</v>
      </c>
      <c r="AS15" s="301">
        <f t="shared" si="29"/>
        <v>0</v>
      </c>
      <c r="AT15" s="302">
        <f t="shared" si="30"/>
        <v>0</v>
      </c>
      <c r="AU15" s="302">
        <f t="shared" si="31"/>
        <v>0</v>
      </c>
      <c r="AV15" s="81">
        <f t="shared" si="32"/>
        <v>0</v>
      </c>
      <c r="AW15" s="82">
        <f t="shared" si="33"/>
        <v>0</v>
      </c>
      <c r="AX15" s="81">
        <f t="shared" si="34"/>
        <v>0</v>
      </c>
      <c r="AY15" s="83">
        <f t="shared" si="35"/>
        <v>0</v>
      </c>
      <c r="AZ15" s="83">
        <f t="shared" si="36"/>
        <v>0</v>
      </c>
      <c r="BA15" s="82">
        <f>IF(OR(B15=Feiertage!$A$16,B15=Feiertage!$A$19),U15*Zuschläge_24_31/100,IF(AZ15&gt;0,AZ15*Feiertag_mit/100,IF(AX15&gt;0,AX15*Zuschläge_Sa/100,IF(AY15&gt;0,AY15*Zuschlag_So/100,0))))</f>
        <v>0</v>
      </c>
      <c r="BB15" s="82">
        <f>IF(AND(B15&lt;&gt;0,G15=Voreinstellung_Übersicht!$D$41),IF(EG=1,W15*Über_klein/100,IF(EG=2,W15*Über_groß/100,"Fehler")),0)</f>
        <v>0</v>
      </c>
      <c r="BC15" s="299">
        <f t="shared" ca="1" si="41"/>
        <v>0</v>
      </c>
      <c r="BD15" s="219">
        <f t="shared" ca="1" si="37"/>
        <v>1</v>
      </c>
      <c r="BE15" s="303">
        <f ca="1">IF(B15="","",INDIRECT(ADDRESS(MATCH(B15,Soll_AZ,1)+MATCH("Arbeitszeit 1 ab",Voreinstellung_Übersicht!B:B,0)-1,4,,,"Voreinstellung_Übersicht"),TRUE))</f>
        <v>1.6666666666666665</v>
      </c>
      <c r="BF15" s="1">
        <f t="shared" si="42"/>
        <v>0</v>
      </c>
    </row>
    <row r="16" spans="1:58" s="1" customFormat="1" ht="15" x14ac:dyDescent="0.3">
      <c r="A16" s="218">
        <f t="shared" si="0"/>
        <v>10</v>
      </c>
      <c r="B16" s="47">
        <f t="shared" si="38"/>
        <v>42071</v>
      </c>
      <c r="C16" s="219">
        <f t="shared" si="1"/>
        <v>0</v>
      </c>
      <c r="D16" s="220" t="str">
        <f t="shared" si="2"/>
        <v/>
      </c>
      <c r="E16" s="298" t="str">
        <f t="shared" si="3"/>
        <v/>
      </c>
      <c r="F16" s="87">
        <f t="shared" si="4"/>
        <v>42071</v>
      </c>
      <c r="G16" s="147"/>
      <c r="H16" s="74"/>
      <c r="I16" s="75"/>
      <c r="J16" s="221">
        <f t="shared" si="5"/>
        <v>0</v>
      </c>
      <c r="K16" s="76"/>
      <c r="L16" s="221">
        <f t="shared" si="43"/>
        <v>0</v>
      </c>
      <c r="M16" s="74"/>
      <c r="N16" s="75"/>
      <c r="O16" s="221">
        <f t="shared" si="6"/>
        <v>0</v>
      </c>
      <c r="P16" s="76"/>
      <c r="Q16" s="221">
        <f t="shared" si="44"/>
        <v>0</v>
      </c>
      <c r="R16" s="221">
        <f t="shared" si="45"/>
        <v>0</v>
      </c>
      <c r="S16" s="221">
        <f t="shared" si="7"/>
        <v>0</v>
      </c>
      <c r="T16" s="79">
        <f t="shared" si="8"/>
        <v>0</v>
      </c>
      <c r="U16" s="79">
        <f t="shared" si="39"/>
        <v>0</v>
      </c>
      <c r="V16" s="80">
        <f t="shared" ca="1" si="9"/>
        <v>0</v>
      </c>
      <c r="W16" s="249" t="str">
        <f t="shared" ca="1" si="10"/>
        <v/>
      </c>
      <c r="X16" s="293"/>
      <c r="Y16" s="221">
        <f t="shared" si="11"/>
        <v>0</v>
      </c>
      <c r="Z16" s="299">
        <f ca="1">IF(B16="","",INDIRECT(ADDRESS(MATCH(B16,Soll_AZ,1)+MATCH("Arbeitszeit 1 ab",Voreinstellung_Übersicht!B:B,0)-1,WEEKDAY(B16,2)+4,,,"Voreinstellung_Übersicht"),TRUE))</f>
        <v>0</v>
      </c>
      <c r="AA16" s="300">
        <f t="shared" ca="1" si="40"/>
        <v>0</v>
      </c>
      <c r="AB16" s="219">
        <f t="shared" si="12"/>
        <v>0</v>
      </c>
      <c r="AC16" s="219">
        <f t="shared" si="13"/>
        <v>0</v>
      </c>
      <c r="AD16" s="219">
        <f t="shared" si="14"/>
        <v>0</v>
      </c>
      <c r="AE16" s="219">
        <f t="shared" si="15"/>
        <v>0</v>
      </c>
      <c r="AF16" s="219">
        <f t="shared" si="16"/>
        <v>0</v>
      </c>
      <c r="AG16" s="219">
        <f t="shared" si="17"/>
        <v>0</v>
      </c>
      <c r="AH16" s="219">
        <f t="shared" si="18"/>
        <v>0</v>
      </c>
      <c r="AI16" s="219">
        <f t="shared" si="19"/>
        <v>0</v>
      </c>
      <c r="AJ16" s="219">
        <f t="shared" si="20"/>
        <v>0</v>
      </c>
      <c r="AK16" s="219">
        <f t="shared" si="21"/>
        <v>0</v>
      </c>
      <c r="AL16" s="219">
        <f t="shared" si="22"/>
        <v>0</v>
      </c>
      <c r="AM16" s="219">
        <f t="shared" si="23"/>
        <v>0</v>
      </c>
      <c r="AN16" s="301">
        <f t="shared" si="24"/>
        <v>0</v>
      </c>
      <c r="AO16" s="301">
        <f t="shared" si="25"/>
        <v>0</v>
      </c>
      <c r="AP16" s="301">
        <f t="shared" si="26"/>
        <v>0</v>
      </c>
      <c r="AQ16" s="301">
        <f t="shared" si="27"/>
        <v>0</v>
      </c>
      <c r="AR16" s="301">
        <f t="shared" si="28"/>
        <v>0</v>
      </c>
      <c r="AS16" s="301">
        <f t="shared" si="29"/>
        <v>0</v>
      </c>
      <c r="AT16" s="302">
        <f t="shared" si="30"/>
        <v>0</v>
      </c>
      <c r="AU16" s="302">
        <f t="shared" si="31"/>
        <v>0</v>
      </c>
      <c r="AV16" s="81">
        <f t="shared" si="32"/>
        <v>0</v>
      </c>
      <c r="AW16" s="82">
        <f t="shared" si="33"/>
        <v>0</v>
      </c>
      <c r="AX16" s="81">
        <f t="shared" si="34"/>
        <v>0</v>
      </c>
      <c r="AY16" s="83">
        <f t="shared" si="35"/>
        <v>0</v>
      </c>
      <c r="AZ16" s="83">
        <f t="shared" si="36"/>
        <v>0</v>
      </c>
      <c r="BA16" s="82">
        <f>IF(OR(B16=Feiertage!$A$16,B16=Feiertage!$A$19),U16*Zuschläge_24_31/100,IF(AZ16&gt;0,AZ16*Feiertag_mit/100,IF(AX16&gt;0,AX16*Zuschläge_Sa/100,IF(AY16&gt;0,AY16*Zuschlag_So/100,0))))</f>
        <v>0</v>
      </c>
      <c r="BB16" s="82">
        <f>IF(AND(B16&lt;&gt;0,G16=Voreinstellung_Übersicht!$D$41),IF(EG=1,W16*Über_klein/100,IF(EG=2,W16*Über_groß/100,"Fehler")),0)</f>
        <v>0</v>
      </c>
      <c r="BC16" s="299">
        <f t="shared" ca="1" si="41"/>
        <v>0</v>
      </c>
      <c r="BD16" s="219">
        <f t="shared" ca="1" si="37"/>
        <v>1</v>
      </c>
      <c r="BE16" s="303">
        <f ca="1">IF(B16="","",INDIRECT(ADDRESS(MATCH(B16,Soll_AZ,1)+MATCH("Arbeitszeit 1 ab",Voreinstellung_Übersicht!B:B,0)-1,4,,,"Voreinstellung_Übersicht"),TRUE))</f>
        <v>1.6666666666666665</v>
      </c>
      <c r="BF16" s="1">
        <f t="shared" si="42"/>
        <v>0</v>
      </c>
    </row>
    <row r="17" spans="1:58" s="1" customFormat="1" ht="15" x14ac:dyDescent="0.3">
      <c r="A17" s="218">
        <f t="shared" si="0"/>
        <v>11</v>
      </c>
      <c r="B17" s="47">
        <f t="shared" si="38"/>
        <v>42072</v>
      </c>
      <c r="C17" s="219">
        <f t="shared" si="1"/>
        <v>0</v>
      </c>
      <c r="D17" s="220" t="str">
        <f t="shared" si="2"/>
        <v/>
      </c>
      <c r="E17" s="298" t="str">
        <f t="shared" si="3"/>
        <v/>
      </c>
      <c r="F17" s="87">
        <f t="shared" si="4"/>
        <v>42072</v>
      </c>
      <c r="G17" s="147"/>
      <c r="H17" s="74"/>
      <c r="I17" s="75"/>
      <c r="J17" s="221">
        <f t="shared" si="5"/>
        <v>0</v>
      </c>
      <c r="K17" s="76"/>
      <c r="L17" s="221">
        <f t="shared" si="43"/>
        <v>0</v>
      </c>
      <c r="M17" s="74"/>
      <c r="N17" s="75"/>
      <c r="O17" s="221">
        <f t="shared" si="6"/>
        <v>0</v>
      </c>
      <c r="P17" s="76"/>
      <c r="Q17" s="221">
        <f t="shared" si="44"/>
        <v>0</v>
      </c>
      <c r="R17" s="221">
        <f t="shared" si="45"/>
        <v>0</v>
      </c>
      <c r="S17" s="221">
        <f t="shared" si="7"/>
        <v>0</v>
      </c>
      <c r="T17" s="79">
        <f t="shared" si="8"/>
        <v>0</v>
      </c>
      <c r="U17" s="79">
        <f t="shared" si="39"/>
        <v>0</v>
      </c>
      <c r="V17" s="80">
        <f t="shared" ca="1" si="9"/>
        <v>0</v>
      </c>
      <c r="W17" s="249" t="str">
        <f t="shared" ca="1" si="10"/>
        <v/>
      </c>
      <c r="X17" s="293"/>
      <c r="Y17" s="221">
        <f t="shared" si="11"/>
        <v>0</v>
      </c>
      <c r="Z17" s="299">
        <f ca="1">IF(B17="","",INDIRECT(ADDRESS(MATCH(B17,Soll_AZ,1)+MATCH("Arbeitszeit 1 ab",Voreinstellung_Übersicht!B:B,0)-1,WEEKDAY(B17,2)+4,,,"Voreinstellung_Übersicht"),TRUE))</f>
        <v>0</v>
      </c>
      <c r="AA17" s="300">
        <f t="shared" ca="1" si="40"/>
        <v>0</v>
      </c>
      <c r="AB17" s="219">
        <f t="shared" si="12"/>
        <v>0</v>
      </c>
      <c r="AC17" s="219">
        <f t="shared" si="13"/>
        <v>0</v>
      </c>
      <c r="AD17" s="219">
        <f t="shared" si="14"/>
        <v>0</v>
      </c>
      <c r="AE17" s="219">
        <f t="shared" si="15"/>
        <v>0</v>
      </c>
      <c r="AF17" s="219">
        <f t="shared" si="16"/>
        <v>0</v>
      </c>
      <c r="AG17" s="219">
        <f t="shared" si="17"/>
        <v>0</v>
      </c>
      <c r="AH17" s="219">
        <f t="shared" si="18"/>
        <v>0</v>
      </c>
      <c r="AI17" s="219">
        <f t="shared" si="19"/>
        <v>0</v>
      </c>
      <c r="AJ17" s="219">
        <f t="shared" si="20"/>
        <v>0</v>
      </c>
      <c r="AK17" s="219">
        <f t="shared" si="21"/>
        <v>0</v>
      </c>
      <c r="AL17" s="219">
        <f t="shared" si="22"/>
        <v>0</v>
      </c>
      <c r="AM17" s="219">
        <f t="shared" si="23"/>
        <v>0</v>
      </c>
      <c r="AN17" s="301">
        <f t="shared" si="24"/>
        <v>0</v>
      </c>
      <c r="AO17" s="301">
        <f t="shared" si="25"/>
        <v>0</v>
      </c>
      <c r="AP17" s="301">
        <f t="shared" si="26"/>
        <v>0</v>
      </c>
      <c r="AQ17" s="301">
        <f t="shared" si="27"/>
        <v>0</v>
      </c>
      <c r="AR17" s="301">
        <f t="shared" si="28"/>
        <v>0</v>
      </c>
      <c r="AS17" s="301">
        <f t="shared" si="29"/>
        <v>0</v>
      </c>
      <c r="AT17" s="302">
        <f t="shared" si="30"/>
        <v>0</v>
      </c>
      <c r="AU17" s="302">
        <f t="shared" si="31"/>
        <v>0</v>
      </c>
      <c r="AV17" s="81">
        <f t="shared" si="32"/>
        <v>0</v>
      </c>
      <c r="AW17" s="82">
        <f t="shared" si="33"/>
        <v>0</v>
      </c>
      <c r="AX17" s="81">
        <f t="shared" si="34"/>
        <v>0</v>
      </c>
      <c r="AY17" s="83">
        <f t="shared" si="35"/>
        <v>0</v>
      </c>
      <c r="AZ17" s="83">
        <f t="shared" si="36"/>
        <v>0</v>
      </c>
      <c r="BA17" s="82">
        <f>IF(OR(B17=Feiertage!$A$16,B17=Feiertage!$A$19),U17*Zuschläge_24_31/100,IF(AZ17&gt;0,AZ17*Feiertag_mit/100,IF(AX17&gt;0,AX17*Zuschläge_Sa/100,IF(AY17&gt;0,AY17*Zuschlag_So/100,0))))</f>
        <v>0</v>
      </c>
      <c r="BB17" s="82">
        <f>IF(AND(B17&lt;&gt;0,G17=Voreinstellung_Übersicht!$D$41),IF(EG=1,W17*Über_klein/100,IF(EG=2,W17*Über_groß/100,"Fehler")),0)</f>
        <v>0</v>
      </c>
      <c r="BC17" s="299">
        <f t="shared" ca="1" si="41"/>
        <v>0</v>
      </c>
      <c r="BD17" s="219">
        <f t="shared" ca="1" si="37"/>
        <v>1</v>
      </c>
      <c r="BE17" s="303">
        <f ca="1">IF(B17="","",INDIRECT(ADDRESS(MATCH(B17,Soll_AZ,1)+MATCH("Arbeitszeit 1 ab",Voreinstellung_Übersicht!B:B,0)-1,4,,,"Voreinstellung_Übersicht"),TRUE))</f>
        <v>1.6666666666666665</v>
      </c>
      <c r="BF17" s="1">
        <f t="shared" si="42"/>
        <v>0</v>
      </c>
    </row>
    <row r="18" spans="1:58" s="1" customFormat="1" ht="15" x14ac:dyDescent="0.3">
      <c r="A18" s="218">
        <f t="shared" si="0"/>
        <v>11</v>
      </c>
      <c r="B18" s="47">
        <f t="shared" si="38"/>
        <v>42073</v>
      </c>
      <c r="C18" s="219">
        <f t="shared" si="1"/>
        <v>1</v>
      </c>
      <c r="D18" s="220" t="str">
        <f t="shared" si="2"/>
        <v/>
      </c>
      <c r="E18" s="298" t="str">
        <f t="shared" si="3"/>
        <v/>
      </c>
      <c r="F18" s="87">
        <f t="shared" si="4"/>
        <v>42073</v>
      </c>
      <c r="G18" s="147"/>
      <c r="H18" s="74"/>
      <c r="I18" s="75"/>
      <c r="J18" s="221">
        <f t="shared" si="5"/>
        <v>0</v>
      </c>
      <c r="K18" s="76"/>
      <c r="L18" s="221">
        <f t="shared" si="43"/>
        <v>0</v>
      </c>
      <c r="M18" s="74"/>
      <c r="N18" s="75"/>
      <c r="O18" s="221">
        <f t="shared" si="6"/>
        <v>0</v>
      </c>
      <c r="P18" s="76"/>
      <c r="Q18" s="221">
        <f t="shared" si="44"/>
        <v>0</v>
      </c>
      <c r="R18" s="221">
        <f t="shared" si="45"/>
        <v>0</v>
      </c>
      <c r="S18" s="221">
        <f t="shared" si="7"/>
        <v>0</v>
      </c>
      <c r="T18" s="79">
        <f t="shared" si="8"/>
        <v>0</v>
      </c>
      <c r="U18" s="79">
        <f t="shared" si="39"/>
        <v>0</v>
      </c>
      <c r="V18" s="80">
        <f t="shared" ca="1" si="9"/>
        <v>0.33333333329999998</v>
      </c>
      <c r="W18" s="249" t="str">
        <f t="shared" ca="1" si="10"/>
        <v/>
      </c>
      <c r="X18" s="293"/>
      <c r="Y18" s="221">
        <f t="shared" si="11"/>
        <v>0</v>
      </c>
      <c r="Z18" s="299">
        <f ca="1">IF(B18="","",INDIRECT(ADDRESS(MATCH(B18,Soll_AZ,1)+MATCH("Arbeitszeit 1 ab",Voreinstellung_Übersicht!B:B,0)-1,WEEKDAY(B18,2)+4,,,"Voreinstellung_Übersicht"),TRUE))</f>
        <v>0.33333333333333331</v>
      </c>
      <c r="AA18" s="300">
        <f t="shared" ca="1" si="40"/>
        <v>0</v>
      </c>
      <c r="AB18" s="219">
        <f t="shared" si="12"/>
        <v>0</v>
      </c>
      <c r="AC18" s="219">
        <f t="shared" si="13"/>
        <v>0</v>
      </c>
      <c r="AD18" s="219">
        <f t="shared" si="14"/>
        <v>0</v>
      </c>
      <c r="AE18" s="219">
        <f t="shared" si="15"/>
        <v>0</v>
      </c>
      <c r="AF18" s="219">
        <f t="shared" si="16"/>
        <v>0</v>
      </c>
      <c r="AG18" s="219">
        <f t="shared" si="17"/>
        <v>0</v>
      </c>
      <c r="AH18" s="219">
        <f t="shared" si="18"/>
        <v>0</v>
      </c>
      <c r="AI18" s="219">
        <f t="shared" si="19"/>
        <v>0</v>
      </c>
      <c r="AJ18" s="219">
        <f t="shared" si="20"/>
        <v>0</v>
      </c>
      <c r="AK18" s="219">
        <f t="shared" si="21"/>
        <v>0</v>
      </c>
      <c r="AL18" s="219">
        <f t="shared" si="22"/>
        <v>0</v>
      </c>
      <c r="AM18" s="219">
        <f t="shared" si="23"/>
        <v>0</v>
      </c>
      <c r="AN18" s="301">
        <f t="shared" si="24"/>
        <v>0</v>
      </c>
      <c r="AO18" s="301">
        <f t="shared" si="25"/>
        <v>0</v>
      </c>
      <c r="AP18" s="301">
        <f t="shared" si="26"/>
        <v>0</v>
      </c>
      <c r="AQ18" s="301">
        <f t="shared" si="27"/>
        <v>0</v>
      </c>
      <c r="AR18" s="301">
        <f t="shared" si="28"/>
        <v>0</v>
      </c>
      <c r="AS18" s="301">
        <f t="shared" si="29"/>
        <v>0</v>
      </c>
      <c r="AT18" s="302">
        <f t="shared" si="30"/>
        <v>0</v>
      </c>
      <c r="AU18" s="302">
        <f t="shared" si="31"/>
        <v>0</v>
      </c>
      <c r="AV18" s="81">
        <f t="shared" si="32"/>
        <v>0</v>
      </c>
      <c r="AW18" s="82">
        <f t="shared" si="33"/>
        <v>0</v>
      </c>
      <c r="AX18" s="81">
        <f t="shared" si="34"/>
        <v>0</v>
      </c>
      <c r="AY18" s="83">
        <f t="shared" si="35"/>
        <v>0</v>
      </c>
      <c r="AZ18" s="83">
        <f t="shared" si="36"/>
        <v>0</v>
      </c>
      <c r="BA18" s="82">
        <f>IF(OR(B18=Feiertage!$A$16,B18=Feiertage!$A$19),U18*Zuschläge_24_31/100,IF(AZ18&gt;0,AZ18*Feiertag_mit/100,IF(AX18&gt;0,AX18*Zuschläge_Sa/100,IF(AY18&gt;0,AY18*Zuschlag_So/100,0))))</f>
        <v>0</v>
      </c>
      <c r="BB18" s="82">
        <f>IF(AND(B18&lt;&gt;0,G18=Voreinstellung_Übersicht!$D$41),IF(EG=1,W18*Über_klein/100,IF(EG=2,W18*Über_groß/100,"Fehler")),0)</f>
        <v>0</v>
      </c>
      <c r="BC18" s="299">
        <f t="shared" ca="1" si="41"/>
        <v>0</v>
      </c>
      <c r="BD18" s="219">
        <f t="shared" ca="1" si="37"/>
        <v>1</v>
      </c>
      <c r="BE18" s="303">
        <f ca="1">IF(B18="","",INDIRECT(ADDRESS(MATCH(B18,Soll_AZ,1)+MATCH("Arbeitszeit 1 ab",Voreinstellung_Übersicht!B:B,0)-1,4,,,"Voreinstellung_Übersicht"),TRUE))</f>
        <v>1.6666666666666665</v>
      </c>
      <c r="BF18" s="1">
        <f t="shared" si="42"/>
        <v>0</v>
      </c>
    </row>
    <row r="19" spans="1:58" s="1" customFormat="1" ht="15" x14ac:dyDescent="0.3">
      <c r="A19" s="218">
        <f t="shared" si="0"/>
        <v>11</v>
      </c>
      <c r="B19" s="47">
        <f t="shared" si="38"/>
        <v>42074</v>
      </c>
      <c r="C19" s="219">
        <f t="shared" si="1"/>
        <v>1</v>
      </c>
      <c r="D19" s="220" t="str">
        <f t="shared" si="2"/>
        <v/>
      </c>
      <c r="E19" s="298" t="str">
        <f t="shared" si="3"/>
        <v/>
      </c>
      <c r="F19" s="87">
        <f t="shared" si="4"/>
        <v>42074</v>
      </c>
      <c r="G19" s="147"/>
      <c r="H19" s="74"/>
      <c r="I19" s="75"/>
      <c r="J19" s="221">
        <f t="shared" si="5"/>
        <v>0</v>
      </c>
      <c r="K19" s="76"/>
      <c r="L19" s="221">
        <f t="shared" si="43"/>
        <v>0</v>
      </c>
      <c r="M19" s="74"/>
      <c r="N19" s="75"/>
      <c r="O19" s="221">
        <f t="shared" si="6"/>
        <v>0</v>
      </c>
      <c r="P19" s="76"/>
      <c r="Q19" s="221">
        <f t="shared" si="44"/>
        <v>0</v>
      </c>
      <c r="R19" s="221">
        <f t="shared" si="45"/>
        <v>0</v>
      </c>
      <c r="S19" s="221">
        <f t="shared" si="7"/>
        <v>0</v>
      </c>
      <c r="T19" s="79">
        <f t="shared" si="8"/>
        <v>0</v>
      </c>
      <c r="U19" s="79">
        <f t="shared" si="39"/>
        <v>0</v>
      </c>
      <c r="V19" s="80">
        <f t="shared" ca="1" si="9"/>
        <v>0.33333333329999998</v>
      </c>
      <c r="W19" s="249" t="str">
        <f t="shared" ca="1" si="10"/>
        <v/>
      </c>
      <c r="X19" s="293"/>
      <c r="Y19" s="221">
        <f t="shared" si="11"/>
        <v>0</v>
      </c>
      <c r="Z19" s="299">
        <f ca="1">IF(B19="","",INDIRECT(ADDRESS(MATCH(B19,Soll_AZ,1)+MATCH("Arbeitszeit 1 ab",Voreinstellung_Übersicht!B:B,0)-1,WEEKDAY(B19,2)+4,,,"Voreinstellung_Übersicht"),TRUE))</f>
        <v>0.33333333333333331</v>
      </c>
      <c r="AA19" s="300">
        <f t="shared" ca="1" si="40"/>
        <v>0</v>
      </c>
      <c r="AB19" s="219">
        <f t="shared" si="12"/>
        <v>0</v>
      </c>
      <c r="AC19" s="219">
        <f t="shared" si="13"/>
        <v>0</v>
      </c>
      <c r="AD19" s="219">
        <f t="shared" si="14"/>
        <v>0</v>
      </c>
      <c r="AE19" s="219">
        <f t="shared" si="15"/>
        <v>0</v>
      </c>
      <c r="AF19" s="219">
        <f t="shared" si="16"/>
        <v>0</v>
      </c>
      <c r="AG19" s="219">
        <f t="shared" si="17"/>
        <v>0</v>
      </c>
      <c r="AH19" s="219">
        <f t="shared" si="18"/>
        <v>0</v>
      </c>
      <c r="AI19" s="219">
        <f t="shared" si="19"/>
        <v>0</v>
      </c>
      <c r="AJ19" s="219">
        <f t="shared" si="20"/>
        <v>0</v>
      </c>
      <c r="AK19" s="219">
        <f t="shared" si="21"/>
        <v>0</v>
      </c>
      <c r="AL19" s="219">
        <f t="shared" si="22"/>
        <v>0</v>
      </c>
      <c r="AM19" s="219">
        <f t="shared" si="23"/>
        <v>0</v>
      </c>
      <c r="AN19" s="301">
        <f t="shared" si="24"/>
        <v>0</v>
      </c>
      <c r="AO19" s="301">
        <f t="shared" si="25"/>
        <v>0</v>
      </c>
      <c r="AP19" s="301">
        <f t="shared" si="26"/>
        <v>0</v>
      </c>
      <c r="AQ19" s="301">
        <f t="shared" si="27"/>
        <v>0</v>
      </c>
      <c r="AR19" s="301">
        <f t="shared" si="28"/>
        <v>0</v>
      </c>
      <c r="AS19" s="301">
        <f t="shared" si="29"/>
        <v>0</v>
      </c>
      <c r="AT19" s="302">
        <f t="shared" si="30"/>
        <v>0</v>
      </c>
      <c r="AU19" s="302">
        <f t="shared" si="31"/>
        <v>0</v>
      </c>
      <c r="AV19" s="81">
        <f t="shared" si="32"/>
        <v>0</v>
      </c>
      <c r="AW19" s="82">
        <f t="shared" si="33"/>
        <v>0</v>
      </c>
      <c r="AX19" s="81">
        <f t="shared" si="34"/>
        <v>0</v>
      </c>
      <c r="AY19" s="83">
        <f t="shared" si="35"/>
        <v>0</v>
      </c>
      <c r="AZ19" s="83">
        <f t="shared" si="36"/>
        <v>0</v>
      </c>
      <c r="BA19" s="82">
        <f>IF(OR(B19=Feiertage!$A$16,B19=Feiertage!$A$19),U19*Zuschläge_24_31/100,IF(AZ19&gt;0,AZ19*Feiertag_mit/100,IF(AX19&gt;0,AX19*Zuschläge_Sa/100,IF(AY19&gt;0,AY19*Zuschlag_So/100,0))))</f>
        <v>0</v>
      </c>
      <c r="BB19" s="82">
        <f>IF(AND(B19&lt;&gt;0,G19=Voreinstellung_Übersicht!$D$41),IF(EG=1,W19*Über_klein/100,IF(EG=2,W19*Über_groß/100,"Fehler")),0)</f>
        <v>0</v>
      </c>
      <c r="BC19" s="299">
        <f t="shared" ca="1" si="41"/>
        <v>0</v>
      </c>
      <c r="BD19" s="219">
        <f t="shared" ca="1" si="37"/>
        <v>1</v>
      </c>
      <c r="BE19" s="303">
        <f ca="1">IF(B19="","",INDIRECT(ADDRESS(MATCH(B19,Soll_AZ,1)+MATCH("Arbeitszeit 1 ab",Voreinstellung_Übersicht!B:B,0)-1,4,,,"Voreinstellung_Übersicht"),TRUE))</f>
        <v>1.6666666666666665</v>
      </c>
      <c r="BF19" s="1">
        <f t="shared" si="42"/>
        <v>0</v>
      </c>
    </row>
    <row r="20" spans="1:58" s="1" customFormat="1" ht="15" x14ac:dyDescent="0.3">
      <c r="A20" s="218">
        <f t="shared" si="0"/>
        <v>11</v>
      </c>
      <c r="B20" s="47">
        <f t="shared" si="38"/>
        <v>42075</v>
      </c>
      <c r="C20" s="219">
        <f t="shared" si="1"/>
        <v>1</v>
      </c>
      <c r="D20" s="220" t="str">
        <f t="shared" si="2"/>
        <v/>
      </c>
      <c r="E20" s="298" t="str">
        <f t="shared" si="3"/>
        <v/>
      </c>
      <c r="F20" s="87">
        <f t="shared" si="4"/>
        <v>42075</v>
      </c>
      <c r="G20" s="147"/>
      <c r="H20" s="74"/>
      <c r="I20" s="75"/>
      <c r="J20" s="221">
        <f t="shared" si="5"/>
        <v>0</v>
      </c>
      <c r="K20" s="76"/>
      <c r="L20" s="221">
        <f t="shared" si="43"/>
        <v>0</v>
      </c>
      <c r="M20" s="74"/>
      <c r="N20" s="75"/>
      <c r="O20" s="221">
        <f t="shared" si="6"/>
        <v>0</v>
      </c>
      <c r="P20" s="76"/>
      <c r="Q20" s="221">
        <f t="shared" si="44"/>
        <v>0</v>
      </c>
      <c r="R20" s="221">
        <f t="shared" si="45"/>
        <v>0</v>
      </c>
      <c r="S20" s="221">
        <f t="shared" si="7"/>
        <v>0</v>
      </c>
      <c r="T20" s="79">
        <f t="shared" si="8"/>
        <v>0</v>
      </c>
      <c r="U20" s="79">
        <f t="shared" si="39"/>
        <v>0</v>
      </c>
      <c r="V20" s="80">
        <f t="shared" ca="1" si="9"/>
        <v>0.33333333329999998</v>
      </c>
      <c r="W20" s="249" t="str">
        <f t="shared" ca="1" si="10"/>
        <v/>
      </c>
      <c r="X20" s="293"/>
      <c r="Y20" s="221">
        <f t="shared" si="11"/>
        <v>0</v>
      </c>
      <c r="Z20" s="299">
        <f ca="1">IF(B20="","",INDIRECT(ADDRESS(MATCH(B20,Soll_AZ,1)+MATCH("Arbeitszeit 1 ab",Voreinstellung_Übersicht!B:B,0)-1,WEEKDAY(B20,2)+4,,,"Voreinstellung_Übersicht"),TRUE))</f>
        <v>0.33333333333333331</v>
      </c>
      <c r="AA20" s="300">
        <f t="shared" ca="1" si="40"/>
        <v>0</v>
      </c>
      <c r="AB20" s="219">
        <f t="shared" si="12"/>
        <v>0</v>
      </c>
      <c r="AC20" s="219">
        <f t="shared" si="13"/>
        <v>0</v>
      </c>
      <c r="AD20" s="219">
        <f t="shared" si="14"/>
        <v>0</v>
      </c>
      <c r="AE20" s="219">
        <f t="shared" si="15"/>
        <v>0</v>
      </c>
      <c r="AF20" s="219">
        <f t="shared" si="16"/>
        <v>0</v>
      </c>
      <c r="AG20" s="219">
        <f t="shared" si="17"/>
        <v>0</v>
      </c>
      <c r="AH20" s="219">
        <f t="shared" si="18"/>
        <v>0</v>
      </c>
      <c r="AI20" s="219">
        <f t="shared" si="19"/>
        <v>0</v>
      </c>
      <c r="AJ20" s="219">
        <f t="shared" si="20"/>
        <v>0</v>
      </c>
      <c r="AK20" s="219">
        <f t="shared" si="21"/>
        <v>0</v>
      </c>
      <c r="AL20" s="219">
        <f t="shared" si="22"/>
        <v>0</v>
      </c>
      <c r="AM20" s="219">
        <f t="shared" si="23"/>
        <v>0</v>
      </c>
      <c r="AN20" s="301">
        <f t="shared" si="24"/>
        <v>0</v>
      </c>
      <c r="AO20" s="301">
        <f t="shared" si="25"/>
        <v>0</v>
      </c>
      <c r="AP20" s="301">
        <f t="shared" si="26"/>
        <v>0</v>
      </c>
      <c r="AQ20" s="301">
        <f t="shared" si="27"/>
        <v>0</v>
      </c>
      <c r="AR20" s="301">
        <f t="shared" si="28"/>
        <v>0</v>
      </c>
      <c r="AS20" s="301">
        <f t="shared" si="29"/>
        <v>0</v>
      </c>
      <c r="AT20" s="302">
        <f t="shared" si="30"/>
        <v>0</v>
      </c>
      <c r="AU20" s="302">
        <f t="shared" si="31"/>
        <v>0</v>
      </c>
      <c r="AV20" s="81">
        <f t="shared" si="32"/>
        <v>0</v>
      </c>
      <c r="AW20" s="82">
        <f t="shared" si="33"/>
        <v>0</v>
      </c>
      <c r="AX20" s="81">
        <f t="shared" si="34"/>
        <v>0</v>
      </c>
      <c r="AY20" s="83">
        <f t="shared" si="35"/>
        <v>0</v>
      </c>
      <c r="AZ20" s="83">
        <f t="shared" si="36"/>
        <v>0</v>
      </c>
      <c r="BA20" s="82">
        <f>IF(OR(B20=Feiertage!$A$16,B20=Feiertage!$A$19),U20*Zuschläge_24_31/100,IF(AZ20&gt;0,AZ20*Feiertag_mit/100,IF(AX20&gt;0,AX20*Zuschläge_Sa/100,IF(AY20&gt;0,AY20*Zuschlag_So/100,0))))</f>
        <v>0</v>
      </c>
      <c r="BB20" s="82">
        <f>IF(AND(B20&lt;&gt;0,G20=Voreinstellung_Übersicht!$D$41),IF(EG=1,W20*Über_klein/100,IF(EG=2,W20*Über_groß/100,"Fehler")),0)</f>
        <v>0</v>
      </c>
      <c r="BC20" s="299">
        <f t="shared" ca="1" si="41"/>
        <v>0</v>
      </c>
      <c r="BD20" s="219">
        <f t="shared" ca="1" si="37"/>
        <v>1</v>
      </c>
      <c r="BE20" s="303">
        <f ca="1">IF(B20="","",INDIRECT(ADDRESS(MATCH(B20,Soll_AZ,1)+MATCH("Arbeitszeit 1 ab",Voreinstellung_Übersicht!B:B,0)-1,4,,,"Voreinstellung_Übersicht"),TRUE))</f>
        <v>1.6666666666666665</v>
      </c>
      <c r="BF20" s="1">
        <f t="shared" si="42"/>
        <v>0</v>
      </c>
    </row>
    <row r="21" spans="1:58" s="1" customFormat="1" ht="15" x14ac:dyDescent="0.3">
      <c r="A21" s="218">
        <f t="shared" si="0"/>
        <v>11</v>
      </c>
      <c r="B21" s="47">
        <f t="shared" si="38"/>
        <v>42076</v>
      </c>
      <c r="C21" s="219">
        <f t="shared" si="1"/>
        <v>1</v>
      </c>
      <c r="D21" s="220" t="str">
        <f t="shared" si="2"/>
        <v/>
      </c>
      <c r="E21" s="298" t="str">
        <f t="shared" si="3"/>
        <v/>
      </c>
      <c r="F21" s="87">
        <f t="shared" si="4"/>
        <v>42076</v>
      </c>
      <c r="G21" s="147"/>
      <c r="H21" s="74"/>
      <c r="I21" s="75"/>
      <c r="J21" s="221">
        <f t="shared" si="5"/>
        <v>0</v>
      </c>
      <c r="K21" s="76"/>
      <c r="L21" s="221">
        <f t="shared" si="43"/>
        <v>0</v>
      </c>
      <c r="M21" s="74"/>
      <c r="N21" s="75"/>
      <c r="O21" s="221">
        <f t="shared" si="6"/>
        <v>0</v>
      </c>
      <c r="P21" s="76"/>
      <c r="Q21" s="221">
        <f t="shared" si="44"/>
        <v>0</v>
      </c>
      <c r="R21" s="221">
        <f t="shared" si="45"/>
        <v>0</v>
      </c>
      <c r="S21" s="221">
        <f t="shared" si="7"/>
        <v>0</v>
      </c>
      <c r="T21" s="79">
        <f t="shared" si="8"/>
        <v>0</v>
      </c>
      <c r="U21" s="79">
        <f t="shared" si="39"/>
        <v>0</v>
      </c>
      <c r="V21" s="80">
        <f t="shared" ca="1" si="9"/>
        <v>0.33333333329999998</v>
      </c>
      <c r="W21" s="249" t="str">
        <f t="shared" ca="1" si="10"/>
        <v/>
      </c>
      <c r="X21" s="293"/>
      <c r="Y21" s="221">
        <f t="shared" si="11"/>
        <v>0</v>
      </c>
      <c r="Z21" s="299">
        <f ca="1">IF(B21="","",INDIRECT(ADDRESS(MATCH(B21,Soll_AZ,1)+MATCH("Arbeitszeit 1 ab",Voreinstellung_Übersicht!B:B,0)-1,WEEKDAY(B21,2)+4,,,"Voreinstellung_Übersicht"),TRUE))</f>
        <v>0.33333333333333331</v>
      </c>
      <c r="AA21" s="300">
        <f t="shared" ca="1" si="40"/>
        <v>0</v>
      </c>
      <c r="AB21" s="219">
        <f t="shared" si="12"/>
        <v>0</v>
      </c>
      <c r="AC21" s="219">
        <f t="shared" si="13"/>
        <v>0</v>
      </c>
      <c r="AD21" s="219">
        <f t="shared" si="14"/>
        <v>0</v>
      </c>
      <c r="AE21" s="219">
        <f t="shared" si="15"/>
        <v>0</v>
      </c>
      <c r="AF21" s="219">
        <f t="shared" si="16"/>
        <v>0</v>
      </c>
      <c r="AG21" s="219">
        <f t="shared" si="17"/>
        <v>0</v>
      </c>
      <c r="AH21" s="219">
        <f t="shared" si="18"/>
        <v>0</v>
      </c>
      <c r="AI21" s="219">
        <f t="shared" si="19"/>
        <v>0</v>
      </c>
      <c r="AJ21" s="219">
        <f t="shared" si="20"/>
        <v>0</v>
      </c>
      <c r="AK21" s="219">
        <f t="shared" si="21"/>
        <v>0</v>
      </c>
      <c r="AL21" s="219">
        <f t="shared" si="22"/>
        <v>0</v>
      </c>
      <c r="AM21" s="219">
        <f t="shared" si="23"/>
        <v>0</v>
      </c>
      <c r="AN21" s="301">
        <f t="shared" si="24"/>
        <v>0</v>
      </c>
      <c r="AO21" s="301">
        <f t="shared" si="25"/>
        <v>0</v>
      </c>
      <c r="AP21" s="301">
        <f t="shared" si="26"/>
        <v>0</v>
      </c>
      <c r="AQ21" s="301">
        <f t="shared" si="27"/>
        <v>0</v>
      </c>
      <c r="AR21" s="301">
        <f t="shared" si="28"/>
        <v>0</v>
      </c>
      <c r="AS21" s="301">
        <f t="shared" si="29"/>
        <v>0</v>
      </c>
      <c r="AT21" s="302">
        <f t="shared" si="30"/>
        <v>0</v>
      </c>
      <c r="AU21" s="302">
        <f t="shared" si="31"/>
        <v>0</v>
      </c>
      <c r="AV21" s="81">
        <f t="shared" si="32"/>
        <v>0</v>
      </c>
      <c r="AW21" s="82">
        <f t="shared" si="33"/>
        <v>0</v>
      </c>
      <c r="AX21" s="81">
        <f t="shared" si="34"/>
        <v>0</v>
      </c>
      <c r="AY21" s="83">
        <f t="shared" si="35"/>
        <v>0</v>
      </c>
      <c r="AZ21" s="83">
        <f t="shared" si="36"/>
        <v>0</v>
      </c>
      <c r="BA21" s="82">
        <f>IF(OR(B21=Feiertage!$A$16,B21=Feiertage!$A$19),U21*Zuschläge_24_31/100,IF(AZ21&gt;0,AZ21*Feiertag_mit/100,IF(AX21&gt;0,AX21*Zuschläge_Sa/100,IF(AY21&gt;0,AY21*Zuschlag_So/100,0))))</f>
        <v>0</v>
      </c>
      <c r="BB21" s="82">
        <f>IF(AND(B21&lt;&gt;0,G21=Voreinstellung_Übersicht!$D$41),IF(EG=1,W21*Über_klein/100,IF(EG=2,W21*Über_groß/100,"Fehler")),0)</f>
        <v>0</v>
      </c>
      <c r="BC21" s="299">
        <f t="shared" ca="1" si="41"/>
        <v>0</v>
      </c>
      <c r="BD21" s="219">
        <f t="shared" ca="1" si="37"/>
        <v>1</v>
      </c>
      <c r="BE21" s="303">
        <f ca="1">IF(B21="","",INDIRECT(ADDRESS(MATCH(B21,Soll_AZ,1)+MATCH("Arbeitszeit 1 ab",Voreinstellung_Übersicht!B:B,0)-1,4,,,"Voreinstellung_Übersicht"),TRUE))</f>
        <v>1.6666666666666665</v>
      </c>
      <c r="BF21" s="1">
        <f t="shared" si="42"/>
        <v>0</v>
      </c>
    </row>
    <row r="22" spans="1:58" s="1" customFormat="1" ht="15" x14ac:dyDescent="0.3">
      <c r="A22" s="218">
        <f t="shared" si="0"/>
        <v>11</v>
      </c>
      <c r="B22" s="47">
        <f t="shared" si="38"/>
        <v>42077</v>
      </c>
      <c r="C22" s="219">
        <f t="shared" si="1"/>
        <v>1</v>
      </c>
      <c r="D22" s="220" t="str">
        <f t="shared" si="2"/>
        <v/>
      </c>
      <c r="E22" s="298" t="str">
        <f t="shared" si="3"/>
        <v/>
      </c>
      <c r="F22" s="87">
        <f t="shared" si="4"/>
        <v>42077</v>
      </c>
      <c r="G22" s="147"/>
      <c r="H22" s="74"/>
      <c r="I22" s="75"/>
      <c r="J22" s="221">
        <f t="shared" si="5"/>
        <v>0</v>
      </c>
      <c r="K22" s="76"/>
      <c r="L22" s="221">
        <f t="shared" si="43"/>
        <v>0</v>
      </c>
      <c r="M22" s="74"/>
      <c r="N22" s="75"/>
      <c r="O22" s="221">
        <f t="shared" si="6"/>
        <v>0</v>
      </c>
      <c r="P22" s="76"/>
      <c r="Q22" s="221">
        <f t="shared" si="44"/>
        <v>0</v>
      </c>
      <c r="R22" s="221">
        <f t="shared" si="45"/>
        <v>0</v>
      </c>
      <c r="S22" s="221">
        <f t="shared" si="7"/>
        <v>0</v>
      </c>
      <c r="T22" s="79">
        <f t="shared" si="8"/>
        <v>0</v>
      </c>
      <c r="U22" s="79">
        <f t="shared" si="39"/>
        <v>0</v>
      </c>
      <c r="V22" s="80">
        <f t="shared" ca="1" si="9"/>
        <v>0.33333333329999998</v>
      </c>
      <c r="W22" s="249" t="str">
        <f t="shared" ca="1" si="10"/>
        <v/>
      </c>
      <c r="X22" s="293"/>
      <c r="Y22" s="221">
        <f t="shared" si="11"/>
        <v>0</v>
      </c>
      <c r="Z22" s="299">
        <f ca="1">IF(B22="","",INDIRECT(ADDRESS(MATCH(B22,Soll_AZ,1)+MATCH("Arbeitszeit 1 ab",Voreinstellung_Übersicht!B:B,0)-1,WEEKDAY(B22,2)+4,,,"Voreinstellung_Übersicht"),TRUE))</f>
        <v>0.33333333333333331</v>
      </c>
      <c r="AA22" s="300">
        <f t="shared" ca="1" si="40"/>
        <v>0</v>
      </c>
      <c r="AB22" s="219">
        <f t="shared" si="12"/>
        <v>0</v>
      </c>
      <c r="AC22" s="219">
        <f t="shared" si="13"/>
        <v>0</v>
      </c>
      <c r="AD22" s="219">
        <f t="shared" si="14"/>
        <v>0</v>
      </c>
      <c r="AE22" s="219">
        <f t="shared" si="15"/>
        <v>0</v>
      </c>
      <c r="AF22" s="219">
        <f t="shared" si="16"/>
        <v>0</v>
      </c>
      <c r="AG22" s="219">
        <f t="shared" si="17"/>
        <v>0</v>
      </c>
      <c r="AH22" s="219">
        <f t="shared" si="18"/>
        <v>0</v>
      </c>
      <c r="AI22" s="219">
        <f t="shared" si="19"/>
        <v>0</v>
      </c>
      <c r="AJ22" s="219">
        <f t="shared" si="20"/>
        <v>0</v>
      </c>
      <c r="AK22" s="219">
        <f t="shared" si="21"/>
        <v>0</v>
      </c>
      <c r="AL22" s="219">
        <f t="shared" si="22"/>
        <v>0</v>
      </c>
      <c r="AM22" s="219">
        <f t="shared" si="23"/>
        <v>0</v>
      </c>
      <c r="AN22" s="301">
        <f t="shared" si="24"/>
        <v>0</v>
      </c>
      <c r="AO22" s="301">
        <f t="shared" si="25"/>
        <v>0</v>
      </c>
      <c r="AP22" s="301">
        <f t="shared" si="26"/>
        <v>0</v>
      </c>
      <c r="AQ22" s="301">
        <f t="shared" si="27"/>
        <v>0</v>
      </c>
      <c r="AR22" s="301">
        <f t="shared" si="28"/>
        <v>0</v>
      </c>
      <c r="AS22" s="301">
        <f t="shared" si="29"/>
        <v>0</v>
      </c>
      <c r="AT22" s="302">
        <f t="shared" si="30"/>
        <v>0</v>
      </c>
      <c r="AU22" s="302">
        <f t="shared" si="31"/>
        <v>0</v>
      </c>
      <c r="AV22" s="81">
        <f t="shared" si="32"/>
        <v>0</v>
      </c>
      <c r="AW22" s="82">
        <f t="shared" si="33"/>
        <v>0</v>
      </c>
      <c r="AX22" s="81">
        <f t="shared" si="34"/>
        <v>0</v>
      </c>
      <c r="AY22" s="83">
        <f t="shared" si="35"/>
        <v>0</v>
      </c>
      <c r="AZ22" s="83">
        <f t="shared" si="36"/>
        <v>0</v>
      </c>
      <c r="BA22" s="82">
        <f>IF(OR(B22=Feiertage!$A$16,B22=Feiertage!$A$19),U22*Zuschläge_24_31/100,IF(AZ22&gt;0,AZ22*Feiertag_mit/100,IF(AX22&gt;0,AX22*Zuschläge_Sa/100,IF(AY22&gt;0,AY22*Zuschlag_So/100,0))))</f>
        <v>0</v>
      </c>
      <c r="BB22" s="82">
        <f>IF(AND(B22&lt;&gt;0,G22=Voreinstellung_Übersicht!$D$41),IF(EG=1,W22*Über_klein/100,IF(EG=2,W22*Über_groß/100,"Fehler")),0)</f>
        <v>0</v>
      </c>
      <c r="BC22" s="299">
        <f t="shared" ca="1" si="41"/>
        <v>0</v>
      </c>
      <c r="BD22" s="219">
        <f t="shared" ca="1" si="37"/>
        <v>1</v>
      </c>
      <c r="BE22" s="303">
        <f ca="1">IF(B22="","",INDIRECT(ADDRESS(MATCH(B22,Soll_AZ,1)+MATCH("Arbeitszeit 1 ab",Voreinstellung_Übersicht!B:B,0)-1,4,,,"Voreinstellung_Übersicht"),TRUE))</f>
        <v>1.6666666666666665</v>
      </c>
      <c r="BF22" s="1">
        <f t="shared" si="42"/>
        <v>0</v>
      </c>
    </row>
    <row r="23" spans="1:58" s="1" customFormat="1" ht="15" x14ac:dyDescent="0.3">
      <c r="A23" s="218">
        <f t="shared" si="0"/>
        <v>11</v>
      </c>
      <c r="B23" s="47">
        <f t="shared" si="38"/>
        <v>42078</v>
      </c>
      <c r="C23" s="219">
        <f t="shared" si="1"/>
        <v>0</v>
      </c>
      <c r="D23" s="220" t="str">
        <f t="shared" si="2"/>
        <v/>
      </c>
      <c r="E23" s="298" t="str">
        <f t="shared" si="3"/>
        <v/>
      </c>
      <c r="F23" s="87">
        <f t="shared" si="4"/>
        <v>42078</v>
      </c>
      <c r="G23" s="147"/>
      <c r="H23" s="74"/>
      <c r="I23" s="75"/>
      <c r="J23" s="221">
        <f t="shared" si="5"/>
        <v>0</v>
      </c>
      <c r="K23" s="76"/>
      <c r="L23" s="221">
        <f t="shared" si="43"/>
        <v>0</v>
      </c>
      <c r="M23" s="74"/>
      <c r="N23" s="75"/>
      <c r="O23" s="221">
        <f t="shared" si="6"/>
        <v>0</v>
      </c>
      <c r="P23" s="76"/>
      <c r="Q23" s="221">
        <f t="shared" si="44"/>
        <v>0</v>
      </c>
      <c r="R23" s="221">
        <f t="shared" si="45"/>
        <v>0</v>
      </c>
      <c r="S23" s="221">
        <f t="shared" si="7"/>
        <v>0</v>
      </c>
      <c r="T23" s="79">
        <f t="shared" si="8"/>
        <v>0</v>
      </c>
      <c r="U23" s="79">
        <f t="shared" si="39"/>
        <v>0</v>
      </c>
      <c r="V23" s="80">
        <f t="shared" ca="1" si="9"/>
        <v>0</v>
      </c>
      <c r="W23" s="249" t="str">
        <f t="shared" ca="1" si="10"/>
        <v/>
      </c>
      <c r="X23" s="293"/>
      <c r="Y23" s="221">
        <f t="shared" si="11"/>
        <v>0</v>
      </c>
      <c r="Z23" s="299">
        <f ca="1">IF(B23="","",INDIRECT(ADDRESS(MATCH(B23,Soll_AZ,1)+MATCH("Arbeitszeit 1 ab",Voreinstellung_Übersicht!B:B,0)-1,WEEKDAY(B23,2)+4,,,"Voreinstellung_Übersicht"),TRUE))</f>
        <v>0</v>
      </c>
      <c r="AA23" s="300">
        <f t="shared" ca="1" si="40"/>
        <v>0</v>
      </c>
      <c r="AB23" s="219">
        <f t="shared" si="12"/>
        <v>0</v>
      </c>
      <c r="AC23" s="219">
        <f t="shared" si="13"/>
        <v>0</v>
      </c>
      <c r="AD23" s="219">
        <f t="shared" si="14"/>
        <v>0</v>
      </c>
      <c r="AE23" s="219">
        <f t="shared" si="15"/>
        <v>0</v>
      </c>
      <c r="AF23" s="219">
        <f t="shared" si="16"/>
        <v>0</v>
      </c>
      <c r="AG23" s="219">
        <f t="shared" si="17"/>
        <v>0</v>
      </c>
      <c r="AH23" s="219">
        <f t="shared" si="18"/>
        <v>0</v>
      </c>
      <c r="AI23" s="219">
        <f t="shared" si="19"/>
        <v>0</v>
      </c>
      <c r="AJ23" s="219">
        <f t="shared" si="20"/>
        <v>0</v>
      </c>
      <c r="AK23" s="219">
        <f t="shared" si="21"/>
        <v>0</v>
      </c>
      <c r="AL23" s="219">
        <f t="shared" si="22"/>
        <v>0</v>
      </c>
      <c r="AM23" s="219">
        <f t="shared" si="23"/>
        <v>0</v>
      </c>
      <c r="AN23" s="301">
        <f t="shared" si="24"/>
        <v>0</v>
      </c>
      <c r="AO23" s="301">
        <f t="shared" si="25"/>
        <v>0</v>
      </c>
      <c r="AP23" s="301">
        <f t="shared" si="26"/>
        <v>0</v>
      </c>
      <c r="AQ23" s="301">
        <f t="shared" si="27"/>
        <v>0</v>
      </c>
      <c r="AR23" s="301">
        <f t="shared" si="28"/>
        <v>0</v>
      </c>
      <c r="AS23" s="301">
        <f t="shared" si="29"/>
        <v>0</v>
      </c>
      <c r="AT23" s="302">
        <f t="shared" si="30"/>
        <v>0</v>
      </c>
      <c r="AU23" s="302">
        <f t="shared" si="31"/>
        <v>0</v>
      </c>
      <c r="AV23" s="81">
        <f t="shared" si="32"/>
        <v>0</v>
      </c>
      <c r="AW23" s="82">
        <f t="shared" si="33"/>
        <v>0</v>
      </c>
      <c r="AX23" s="81">
        <f t="shared" si="34"/>
        <v>0</v>
      </c>
      <c r="AY23" s="83">
        <f t="shared" si="35"/>
        <v>0</v>
      </c>
      <c r="AZ23" s="83">
        <f t="shared" si="36"/>
        <v>0</v>
      </c>
      <c r="BA23" s="82">
        <f>IF(OR(B23=Feiertage!$A$16,B23=Feiertage!$A$19),U23*Zuschläge_24_31/100,IF(AZ23&gt;0,AZ23*Feiertag_mit/100,IF(AX23&gt;0,AX23*Zuschläge_Sa/100,IF(AY23&gt;0,AY23*Zuschlag_So/100,0))))</f>
        <v>0</v>
      </c>
      <c r="BB23" s="82">
        <f>IF(AND(B23&lt;&gt;0,G23=Voreinstellung_Übersicht!$D$41),IF(EG=1,W23*Über_klein/100,IF(EG=2,W23*Über_groß/100,"Fehler")),0)</f>
        <v>0</v>
      </c>
      <c r="BC23" s="299">
        <f t="shared" ca="1" si="41"/>
        <v>0</v>
      </c>
      <c r="BD23" s="219">
        <f t="shared" ca="1" si="37"/>
        <v>1</v>
      </c>
      <c r="BE23" s="303">
        <f ca="1">IF(B23="","",INDIRECT(ADDRESS(MATCH(B23,Soll_AZ,1)+MATCH("Arbeitszeit 1 ab",Voreinstellung_Übersicht!B:B,0)-1,4,,,"Voreinstellung_Übersicht"),TRUE))</f>
        <v>1.6666666666666665</v>
      </c>
      <c r="BF23" s="1">
        <f t="shared" si="42"/>
        <v>0</v>
      </c>
    </row>
    <row r="24" spans="1:58" s="1" customFormat="1" ht="15" x14ac:dyDescent="0.3">
      <c r="A24" s="218">
        <f t="shared" si="0"/>
        <v>12</v>
      </c>
      <c r="B24" s="47">
        <f t="shared" si="38"/>
        <v>42079</v>
      </c>
      <c r="C24" s="219">
        <f t="shared" si="1"/>
        <v>0</v>
      </c>
      <c r="D24" s="220" t="str">
        <f t="shared" si="2"/>
        <v/>
      </c>
      <c r="E24" s="298" t="str">
        <f t="shared" si="3"/>
        <v/>
      </c>
      <c r="F24" s="87">
        <f t="shared" si="4"/>
        <v>42079</v>
      </c>
      <c r="G24" s="147"/>
      <c r="H24" s="74"/>
      <c r="I24" s="75"/>
      <c r="J24" s="221">
        <f t="shared" si="5"/>
        <v>0</v>
      </c>
      <c r="K24" s="76"/>
      <c r="L24" s="221">
        <f t="shared" si="43"/>
        <v>0</v>
      </c>
      <c r="M24" s="74"/>
      <c r="N24" s="75"/>
      <c r="O24" s="221">
        <f t="shared" si="6"/>
        <v>0</v>
      </c>
      <c r="P24" s="76"/>
      <c r="Q24" s="221">
        <f t="shared" si="44"/>
        <v>0</v>
      </c>
      <c r="R24" s="221">
        <f t="shared" si="45"/>
        <v>0</v>
      </c>
      <c r="S24" s="221">
        <f t="shared" si="7"/>
        <v>0</v>
      </c>
      <c r="T24" s="79">
        <f t="shared" si="8"/>
        <v>0</v>
      </c>
      <c r="U24" s="79">
        <f t="shared" si="39"/>
        <v>0</v>
      </c>
      <c r="V24" s="80">
        <f t="shared" ca="1" si="9"/>
        <v>0</v>
      </c>
      <c r="W24" s="249" t="str">
        <f t="shared" ca="1" si="10"/>
        <v/>
      </c>
      <c r="X24" s="293"/>
      <c r="Y24" s="221">
        <f t="shared" si="11"/>
        <v>0</v>
      </c>
      <c r="Z24" s="299">
        <f ca="1">IF(B24="","",INDIRECT(ADDRESS(MATCH(B24,Soll_AZ,1)+MATCH("Arbeitszeit 1 ab",Voreinstellung_Übersicht!B:B,0)-1,WEEKDAY(B24,2)+4,,,"Voreinstellung_Übersicht"),TRUE))</f>
        <v>0</v>
      </c>
      <c r="AA24" s="300">
        <f t="shared" ca="1" si="40"/>
        <v>0</v>
      </c>
      <c r="AB24" s="219">
        <f t="shared" si="12"/>
        <v>0</v>
      </c>
      <c r="AC24" s="219">
        <f t="shared" si="13"/>
        <v>0</v>
      </c>
      <c r="AD24" s="219">
        <f t="shared" si="14"/>
        <v>0</v>
      </c>
      <c r="AE24" s="219">
        <f t="shared" si="15"/>
        <v>0</v>
      </c>
      <c r="AF24" s="219">
        <f t="shared" si="16"/>
        <v>0</v>
      </c>
      <c r="AG24" s="219">
        <f t="shared" si="17"/>
        <v>0</v>
      </c>
      <c r="AH24" s="219">
        <f t="shared" si="18"/>
        <v>0</v>
      </c>
      <c r="AI24" s="219">
        <f t="shared" si="19"/>
        <v>0</v>
      </c>
      <c r="AJ24" s="219">
        <f t="shared" si="20"/>
        <v>0</v>
      </c>
      <c r="AK24" s="219">
        <f t="shared" si="21"/>
        <v>0</v>
      </c>
      <c r="AL24" s="219">
        <f t="shared" si="22"/>
        <v>0</v>
      </c>
      <c r="AM24" s="219">
        <f t="shared" si="23"/>
        <v>0</v>
      </c>
      <c r="AN24" s="301">
        <f t="shared" si="24"/>
        <v>0</v>
      </c>
      <c r="AO24" s="301">
        <f t="shared" si="25"/>
        <v>0</v>
      </c>
      <c r="AP24" s="301">
        <f t="shared" si="26"/>
        <v>0</v>
      </c>
      <c r="AQ24" s="301">
        <f t="shared" si="27"/>
        <v>0</v>
      </c>
      <c r="AR24" s="301">
        <f t="shared" si="28"/>
        <v>0</v>
      </c>
      <c r="AS24" s="301">
        <f t="shared" si="29"/>
        <v>0</v>
      </c>
      <c r="AT24" s="302">
        <f t="shared" si="30"/>
        <v>0</v>
      </c>
      <c r="AU24" s="302">
        <f t="shared" si="31"/>
        <v>0</v>
      </c>
      <c r="AV24" s="81">
        <f t="shared" si="32"/>
        <v>0</v>
      </c>
      <c r="AW24" s="82">
        <f t="shared" si="33"/>
        <v>0</v>
      </c>
      <c r="AX24" s="81">
        <f t="shared" si="34"/>
        <v>0</v>
      </c>
      <c r="AY24" s="83">
        <f t="shared" si="35"/>
        <v>0</v>
      </c>
      <c r="AZ24" s="83">
        <f t="shared" si="36"/>
        <v>0</v>
      </c>
      <c r="BA24" s="82">
        <f>IF(OR(B24=Feiertage!$A$16,B24=Feiertage!$A$19),U24*Zuschläge_24_31/100,IF(AZ24&gt;0,AZ24*Feiertag_mit/100,IF(AX24&gt;0,AX24*Zuschläge_Sa/100,IF(AY24&gt;0,AY24*Zuschlag_So/100,0))))</f>
        <v>0</v>
      </c>
      <c r="BB24" s="82">
        <f>IF(AND(B24&lt;&gt;0,G24=Voreinstellung_Übersicht!$D$41),IF(EG=1,W24*Über_klein/100,IF(EG=2,W24*Über_groß/100,"Fehler")),0)</f>
        <v>0</v>
      </c>
      <c r="BC24" s="299">
        <f t="shared" ca="1" si="41"/>
        <v>0</v>
      </c>
      <c r="BD24" s="219">
        <f t="shared" ca="1" si="37"/>
        <v>1</v>
      </c>
      <c r="BE24" s="303">
        <f ca="1">IF(B24="","",INDIRECT(ADDRESS(MATCH(B24,Soll_AZ,1)+MATCH("Arbeitszeit 1 ab",Voreinstellung_Übersicht!B:B,0)-1,4,,,"Voreinstellung_Übersicht"),TRUE))</f>
        <v>1.6666666666666665</v>
      </c>
      <c r="BF24" s="1">
        <f t="shared" si="42"/>
        <v>0</v>
      </c>
    </row>
    <row r="25" spans="1:58" s="1" customFormat="1" ht="15" x14ac:dyDescent="0.3">
      <c r="A25" s="218">
        <f t="shared" si="0"/>
        <v>12</v>
      </c>
      <c r="B25" s="47">
        <f t="shared" si="38"/>
        <v>42080</v>
      </c>
      <c r="C25" s="219">
        <f t="shared" si="1"/>
        <v>1</v>
      </c>
      <c r="D25" s="220" t="str">
        <f t="shared" si="2"/>
        <v/>
      </c>
      <c r="E25" s="298" t="str">
        <f t="shared" si="3"/>
        <v/>
      </c>
      <c r="F25" s="87">
        <f t="shared" si="4"/>
        <v>42080</v>
      </c>
      <c r="G25" s="147"/>
      <c r="H25" s="74"/>
      <c r="I25" s="75"/>
      <c r="J25" s="221">
        <f t="shared" si="5"/>
        <v>0</v>
      </c>
      <c r="K25" s="76"/>
      <c r="L25" s="221">
        <f t="shared" si="43"/>
        <v>0</v>
      </c>
      <c r="M25" s="74"/>
      <c r="N25" s="75"/>
      <c r="O25" s="221">
        <f t="shared" si="6"/>
        <v>0</v>
      </c>
      <c r="P25" s="76"/>
      <c r="Q25" s="221">
        <f t="shared" si="44"/>
        <v>0</v>
      </c>
      <c r="R25" s="221">
        <f t="shared" si="45"/>
        <v>0</v>
      </c>
      <c r="S25" s="221">
        <f t="shared" si="7"/>
        <v>0</v>
      </c>
      <c r="T25" s="79">
        <f t="shared" si="8"/>
        <v>0</v>
      </c>
      <c r="U25" s="79">
        <f t="shared" si="39"/>
        <v>0</v>
      </c>
      <c r="V25" s="80">
        <f t="shared" ca="1" si="9"/>
        <v>0.33333333329999998</v>
      </c>
      <c r="W25" s="249" t="str">
        <f t="shared" ca="1" si="10"/>
        <v/>
      </c>
      <c r="X25" s="293"/>
      <c r="Y25" s="221">
        <f t="shared" si="11"/>
        <v>0</v>
      </c>
      <c r="Z25" s="299">
        <f ca="1">IF(B25="","",INDIRECT(ADDRESS(MATCH(B25,Soll_AZ,1)+MATCH("Arbeitszeit 1 ab",Voreinstellung_Übersicht!B:B,0)-1,WEEKDAY(B25,2)+4,,,"Voreinstellung_Übersicht"),TRUE))</f>
        <v>0.33333333333333331</v>
      </c>
      <c r="AA25" s="300">
        <f t="shared" ca="1" si="40"/>
        <v>0</v>
      </c>
      <c r="AB25" s="219">
        <f t="shared" si="12"/>
        <v>0</v>
      </c>
      <c r="AC25" s="219">
        <f t="shared" si="13"/>
        <v>0</v>
      </c>
      <c r="AD25" s="219">
        <f t="shared" si="14"/>
        <v>0</v>
      </c>
      <c r="AE25" s="219">
        <f t="shared" si="15"/>
        <v>0</v>
      </c>
      <c r="AF25" s="219">
        <f t="shared" si="16"/>
        <v>0</v>
      </c>
      <c r="AG25" s="219">
        <f t="shared" si="17"/>
        <v>0</v>
      </c>
      <c r="AH25" s="219">
        <f t="shared" si="18"/>
        <v>0</v>
      </c>
      <c r="AI25" s="219">
        <f t="shared" si="19"/>
        <v>0</v>
      </c>
      <c r="AJ25" s="219">
        <f t="shared" si="20"/>
        <v>0</v>
      </c>
      <c r="AK25" s="219">
        <f t="shared" si="21"/>
        <v>0</v>
      </c>
      <c r="AL25" s="219">
        <f t="shared" si="22"/>
        <v>0</v>
      </c>
      <c r="AM25" s="219">
        <f t="shared" si="23"/>
        <v>0</v>
      </c>
      <c r="AN25" s="301">
        <f t="shared" si="24"/>
        <v>0</v>
      </c>
      <c r="AO25" s="301">
        <f t="shared" si="25"/>
        <v>0</v>
      </c>
      <c r="AP25" s="301">
        <f t="shared" si="26"/>
        <v>0</v>
      </c>
      <c r="AQ25" s="301">
        <f t="shared" si="27"/>
        <v>0</v>
      </c>
      <c r="AR25" s="301">
        <f t="shared" si="28"/>
        <v>0</v>
      </c>
      <c r="AS25" s="301">
        <f t="shared" si="29"/>
        <v>0</v>
      </c>
      <c r="AT25" s="302">
        <f t="shared" si="30"/>
        <v>0</v>
      </c>
      <c r="AU25" s="302">
        <f t="shared" si="31"/>
        <v>0</v>
      </c>
      <c r="AV25" s="81">
        <f t="shared" si="32"/>
        <v>0</v>
      </c>
      <c r="AW25" s="82">
        <f t="shared" si="33"/>
        <v>0</v>
      </c>
      <c r="AX25" s="81">
        <f t="shared" si="34"/>
        <v>0</v>
      </c>
      <c r="AY25" s="83">
        <f t="shared" si="35"/>
        <v>0</v>
      </c>
      <c r="AZ25" s="83">
        <f t="shared" si="36"/>
        <v>0</v>
      </c>
      <c r="BA25" s="82">
        <f>IF(OR(B25=Feiertage!$A$16,B25=Feiertage!$A$19),U25*Zuschläge_24_31/100,IF(AZ25&gt;0,AZ25*Feiertag_mit/100,IF(AX25&gt;0,AX25*Zuschläge_Sa/100,IF(AY25&gt;0,AY25*Zuschlag_So/100,0))))</f>
        <v>0</v>
      </c>
      <c r="BB25" s="82">
        <f>IF(AND(B25&lt;&gt;0,G25=Voreinstellung_Übersicht!$D$41),IF(EG=1,W25*Über_klein/100,IF(EG=2,W25*Über_groß/100,"Fehler")),0)</f>
        <v>0</v>
      </c>
      <c r="BC25" s="299">
        <f t="shared" ca="1" si="41"/>
        <v>0</v>
      </c>
      <c r="BD25" s="219">
        <f t="shared" ca="1" si="37"/>
        <v>1</v>
      </c>
      <c r="BE25" s="303">
        <f ca="1">IF(B25="","",INDIRECT(ADDRESS(MATCH(B25,Soll_AZ,1)+MATCH("Arbeitszeit 1 ab",Voreinstellung_Übersicht!B:B,0)-1,4,,,"Voreinstellung_Übersicht"),TRUE))</f>
        <v>1.6666666666666665</v>
      </c>
      <c r="BF25" s="1">
        <f t="shared" si="42"/>
        <v>0</v>
      </c>
    </row>
    <row r="26" spans="1:58" s="1" customFormat="1" ht="15" x14ac:dyDescent="0.3">
      <c r="A26" s="218">
        <f t="shared" si="0"/>
        <v>12</v>
      </c>
      <c r="B26" s="47">
        <f t="shared" si="38"/>
        <v>42081</v>
      </c>
      <c r="C26" s="219">
        <f t="shared" si="1"/>
        <v>1</v>
      </c>
      <c r="D26" s="220" t="str">
        <f t="shared" si="2"/>
        <v/>
      </c>
      <c r="E26" s="298" t="str">
        <f t="shared" si="3"/>
        <v/>
      </c>
      <c r="F26" s="87">
        <f t="shared" si="4"/>
        <v>42081</v>
      </c>
      <c r="G26" s="147"/>
      <c r="H26" s="74"/>
      <c r="I26" s="75"/>
      <c r="J26" s="221">
        <f t="shared" si="5"/>
        <v>0</v>
      </c>
      <c r="K26" s="76"/>
      <c r="L26" s="221">
        <f t="shared" si="43"/>
        <v>0</v>
      </c>
      <c r="M26" s="74"/>
      <c r="N26" s="75"/>
      <c r="O26" s="221">
        <f t="shared" si="6"/>
        <v>0</v>
      </c>
      <c r="P26" s="76"/>
      <c r="Q26" s="221">
        <f t="shared" si="44"/>
        <v>0</v>
      </c>
      <c r="R26" s="221">
        <f t="shared" si="45"/>
        <v>0</v>
      </c>
      <c r="S26" s="221">
        <f t="shared" si="7"/>
        <v>0</v>
      </c>
      <c r="T26" s="79">
        <f t="shared" si="8"/>
        <v>0</v>
      </c>
      <c r="U26" s="79">
        <f t="shared" si="39"/>
        <v>0</v>
      </c>
      <c r="V26" s="80">
        <f t="shared" ca="1" si="9"/>
        <v>0.33333333329999998</v>
      </c>
      <c r="W26" s="249" t="str">
        <f t="shared" ca="1" si="10"/>
        <v/>
      </c>
      <c r="X26" s="293"/>
      <c r="Y26" s="221">
        <f t="shared" si="11"/>
        <v>0</v>
      </c>
      <c r="Z26" s="299">
        <f ca="1">IF(B26="","",INDIRECT(ADDRESS(MATCH(B26,Soll_AZ,1)+MATCH("Arbeitszeit 1 ab",Voreinstellung_Übersicht!B:B,0)-1,WEEKDAY(B26,2)+4,,,"Voreinstellung_Übersicht"),TRUE))</f>
        <v>0.33333333333333331</v>
      </c>
      <c r="AA26" s="300">
        <f t="shared" ca="1" si="40"/>
        <v>0</v>
      </c>
      <c r="AB26" s="219">
        <f t="shared" si="12"/>
        <v>0</v>
      </c>
      <c r="AC26" s="219">
        <f t="shared" si="13"/>
        <v>0</v>
      </c>
      <c r="AD26" s="219">
        <f t="shared" si="14"/>
        <v>0</v>
      </c>
      <c r="AE26" s="219">
        <f t="shared" si="15"/>
        <v>0</v>
      </c>
      <c r="AF26" s="219">
        <f t="shared" si="16"/>
        <v>0</v>
      </c>
      <c r="AG26" s="219">
        <f t="shared" si="17"/>
        <v>0</v>
      </c>
      <c r="AH26" s="219">
        <f t="shared" si="18"/>
        <v>0</v>
      </c>
      <c r="AI26" s="219">
        <f t="shared" si="19"/>
        <v>0</v>
      </c>
      <c r="AJ26" s="219">
        <f t="shared" si="20"/>
        <v>0</v>
      </c>
      <c r="AK26" s="219">
        <f t="shared" si="21"/>
        <v>0</v>
      </c>
      <c r="AL26" s="219">
        <f t="shared" si="22"/>
        <v>0</v>
      </c>
      <c r="AM26" s="219">
        <f t="shared" si="23"/>
        <v>0</v>
      </c>
      <c r="AN26" s="301">
        <f t="shared" si="24"/>
        <v>0</v>
      </c>
      <c r="AO26" s="301">
        <f t="shared" si="25"/>
        <v>0</v>
      </c>
      <c r="AP26" s="301">
        <f t="shared" si="26"/>
        <v>0</v>
      </c>
      <c r="AQ26" s="301">
        <f t="shared" si="27"/>
        <v>0</v>
      </c>
      <c r="AR26" s="301">
        <f t="shared" si="28"/>
        <v>0</v>
      </c>
      <c r="AS26" s="301">
        <f t="shared" si="29"/>
        <v>0</v>
      </c>
      <c r="AT26" s="302">
        <f t="shared" si="30"/>
        <v>0</v>
      </c>
      <c r="AU26" s="302">
        <f t="shared" si="31"/>
        <v>0</v>
      </c>
      <c r="AV26" s="81">
        <f t="shared" si="32"/>
        <v>0</v>
      </c>
      <c r="AW26" s="82">
        <f t="shared" si="33"/>
        <v>0</v>
      </c>
      <c r="AX26" s="81">
        <f t="shared" si="34"/>
        <v>0</v>
      </c>
      <c r="AY26" s="83">
        <f t="shared" si="35"/>
        <v>0</v>
      </c>
      <c r="AZ26" s="83">
        <f t="shared" si="36"/>
        <v>0</v>
      </c>
      <c r="BA26" s="82">
        <f>IF(OR(B26=Feiertage!$A$16,B26=Feiertage!$A$19),U26*Zuschläge_24_31/100,IF(AZ26&gt;0,AZ26*Feiertag_mit/100,IF(AX26&gt;0,AX26*Zuschläge_Sa/100,IF(AY26&gt;0,AY26*Zuschlag_So/100,0))))</f>
        <v>0</v>
      </c>
      <c r="BB26" s="82">
        <f>IF(AND(B26&lt;&gt;0,G26=Voreinstellung_Übersicht!$D$41),IF(EG=1,W26*Über_klein/100,IF(EG=2,W26*Über_groß/100,"Fehler")),0)</f>
        <v>0</v>
      </c>
      <c r="BC26" s="299">
        <f t="shared" ca="1" si="41"/>
        <v>0</v>
      </c>
      <c r="BD26" s="219">
        <f t="shared" ca="1" si="37"/>
        <v>1</v>
      </c>
      <c r="BE26" s="303">
        <f ca="1">IF(B26="","",INDIRECT(ADDRESS(MATCH(B26,Soll_AZ,1)+MATCH("Arbeitszeit 1 ab",Voreinstellung_Übersicht!B:B,0)-1,4,,,"Voreinstellung_Übersicht"),TRUE))</f>
        <v>1.6666666666666665</v>
      </c>
      <c r="BF26" s="1">
        <f t="shared" si="42"/>
        <v>0</v>
      </c>
    </row>
    <row r="27" spans="1:58" s="1" customFormat="1" ht="15" x14ac:dyDescent="0.3">
      <c r="A27" s="218">
        <f t="shared" si="0"/>
        <v>12</v>
      </c>
      <c r="B27" s="47">
        <f t="shared" si="38"/>
        <v>42082</v>
      </c>
      <c r="C27" s="219">
        <f t="shared" si="1"/>
        <v>1</v>
      </c>
      <c r="D27" s="220" t="str">
        <f t="shared" si="2"/>
        <v/>
      </c>
      <c r="E27" s="298" t="str">
        <f t="shared" si="3"/>
        <v/>
      </c>
      <c r="F27" s="87">
        <f t="shared" si="4"/>
        <v>42082</v>
      </c>
      <c r="G27" s="147"/>
      <c r="H27" s="74"/>
      <c r="I27" s="75"/>
      <c r="J27" s="221">
        <f t="shared" si="5"/>
        <v>0</v>
      </c>
      <c r="K27" s="76"/>
      <c r="L27" s="221">
        <f t="shared" si="43"/>
        <v>0</v>
      </c>
      <c r="M27" s="74"/>
      <c r="N27" s="75"/>
      <c r="O27" s="221">
        <f t="shared" si="6"/>
        <v>0</v>
      </c>
      <c r="P27" s="76"/>
      <c r="Q27" s="221">
        <f t="shared" si="44"/>
        <v>0</v>
      </c>
      <c r="R27" s="221">
        <f t="shared" si="45"/>
        <v>0</v>
      </c>
      <c r="S27" s="221">
        <f t="shared" si="7"/>
        <v>0</v>
      </c>
      <c r="T27" s="79">
        <f t="shared" si="8"/>
        <v>0</v>
      </c>
      <c r="U27" s="79">
        <f t="shared" si="39"/>
        <v>0</v>
      </c>
      <c r="V27" s="80">
        <f t="shared" ca="1" si="9"/>
        <v>0.33333333329999998</v>
      </c>
      <c r="W27" s="249" t="str">
        <f t="shared" ca="1" si="10"/>
        <v/>
      </c>
      <c r="X27" s="293"/>
      <c r="Y27" s="221">
        <f t="shared" si="11"/>
        <v>0</v>
      </c>
      <c r="Z27" s="299">
        <f ca="1">IF(B27="","",INDIRECT(ADDRESS(MATCH(B27,Soll_AZ,1)+MATCH("Arbeitszeit 1 ab",Voreinstellung_Übersicht!B:B,0)-1,WEEKDAY(B27,2)+4,,,"Voreinstellung_Übersicht"),TRUE))</f>
        <v>0.33333333333333331</v>
      </c>
      <c r="AA27" s="300">
        <f t="shared" ca="1" si="40"/>
        <v>0</v>
      </c>
      <c r="AB27" s="219">
        <f t="shared" si="12"/>
        <v>0</v>
      </c>
      <c r="AC27" s="219">
        <f t="shared" si="13"/>
        <v>0</v>
      </c>
      <c r="AD27" s="219">
        <f t="shared" si="14"/>
        <v>0</v>
      </c>
      <c r="AE27" s="219">
        <f t="shared" si="15"/>
        <v>0</v>
      </c>
      <c r="AF27" s="219">
        <f t="shared" si="16"/>
        <v>0</v>
      </c>
      <c r="AG27" s="219">
        <f t="shared" si="17"/>
        <v>0</v>
      </c>
      <c r="AH27" s="219">
        <f t="shared" si="18"/>
        <v>0</v>
      </c>
      <c r="AI27" s="219">
        <f t="shared" si="19"/>
        <v>0</v>
      </c>
      <c r="AJ27" s="219">
        <f t="shared" si="20"/>
        <v>0</v>
      </c>
      <c r="AK27" s="219">
        <f t="shared" si="21"/>
        <v>0</v>
      </c>
      <c r="AL27" s="219">
        <f t="shared" si="22"/>
        <v>0</v>
      </c>
      <c r="AM27" s="219">
        <f t="shared" si="23"/>
        <v>0</v>
      </c>
      <c r="AN27" s="301">
        <f t="shared" si="24"/>
        <v>0</v>
      </c>
      <c r="AO27" s="301">
        <f t="shared" si="25"/>
        <v>0</v>
      </c>
      <c r="AP27" s="301">
        <f t="shared" si="26"/>
        <v>0</v>
      </c>
      <c r="AQ27" s="301">
        <f t="shared" si="27"/>
        <v>0</v>
      </c>
      <c r="AR27" s="301">
        <f t="shared" si="28"/>
        <v>0</v>
      </c>
      <c r="AS27" s="301">
        <f t="shared" si="29"/>
        <v>0</v>
      </c>
      <c r="AT27" s="302">
        <f t="shared" si="30"/>
        <v>0</v>
      </c>
      <c r="AU27" s="302">
        <f t="shared" si="31"/>
        <v>0</v>
      </c>
      <c r="AV27" s="81">
        <f t="shared" si="32"/>
        <v>0</v>
      </c>
      <c r="AW27" s="82">
        <f t="shared" si="33"/>
        <v>0</v>
      </c>
      <c r="AX27" s="81">
        <f t="shared" si="34"/>
        <v>0</v>
      </c>
      <c r="AY27" s="83">
        <f t="shared" si="35"/>
        <v>0</v>
      </c>
      <c r="AZ27" s="83">
        <f t="shared" si="36"/>
        <v>0</v>
      </c>
      <c r="BA27" s="82">
        <f>IF(OR(B27=Feiertage!$A$16,B27=Feiertage!$A$19),U27*Zuschläge_24_31/100,IF(AZ27&gt;0,AZ27*Feiertag_mit/100,IF(AX27&gt;0,AX27*Zuschläge_Sa/100,IF(AY27&gt;0,AY27*Zuschlag_So/100,0))))</f>
        <v>0</v>
      </c>
      <c r="BB27" s="82">
        <f>IF(AND(B27&lt;&gt;0,G27=Voreinstellung_Übersicht!$D$41),IF(EG=1,W27*Über_klein/100,IF(EG=2,W27*Über_groß/100,"Fehler")),0)</f>
        <v>0</v>
      </c>
      <c r="BC27" s="299">
        <f t="shared" ca="1" si="41"/>
        <v>0</v>
      </c>
      <c r="BD27" s="219">
        <f t="shared" ca="1" si="37"/>
        <v>1</v>
      </c>
      <c r="BE27" s="303">
        <f ca="1">IF(B27="","",INDIRECT(ADDRESS(MATCH(B27,Soll_AZ,1)+MATCH("Arbeitszeit 1 ab",Voreinstellung_Übersicht!B:B,0)-1,4,,,"Voreinstellung_Übersicht"),TRUE))</f>
        <v>1.6666666666666665</v>
      </c>
      <c r="BF27" s="1">
        <f t="shared" si="42"/>
        <v>0</v>
      </c>
    </row>
    <row r="28" spans="1:58" s="1" customFormat="1" ht="15" x14ac:dyDescent="0.3">
      <c r="A28" s="218">
        <f t="shared" si="0"/>
        <v>12</v>
      </c>
      <c r="B28" s="47">
        <f t="shared" si="38"/>
        <v>42083</v>
      </c>
      <c r="C28" s="219">
        <f t="shared" si="1"/>
        <v>1</v>
      </c>
      <c r="D28" s="220" t="str">
        <f t="shared" si="2"/>
        <v/>
      </c>
      <c r="E28" s="298" t="str">
        <f t="shared" si="3"/>
        <v/>
      </c>
      <c r="F28" s="87">
        <f t="shared" si="4"/>
        <v>42083</v>
      </c>
      <c r="G28" s="147"/>
      <c r="H28" s="74"/>
      <c r="I28" s="75"/>
      <c r="J28" s="221">
        <f t="shared" si="5"/>
        <v>0</v>
      </c>
      <c r="K28" s="76"/>
      <c r="L28" s="221">
        <f t="shared" si="43"/>
        <v>0</v>
      </c>
      <c r="M28" s="74"/>
      <c r="N28" s="75"/>
      <c r="O28" s="221">
        <f t="shared" si="6"/>
        <v>0</v>
      </c>
      <c r="P28" s="76"/>
      <c r="Q28" s="221">
        <f t="shared" si="44"/>
        <v>0</v>
      </c>
      <c r="R28" s="221">
        <f t="shared" si="45"/>
        <v>0</v>
      </c>
      <c r="S28" s="221">
        <f t="shared" si="7"/>
        <v>0</v>
      </c>
      <c r="T28" s="79">
        <f t="shared" si="8"/>
        <v>0</v>
      </c>
      <c r="U28" s="79">
        <f t="shared" si="39"/>
        <v>0</v>
      </c>
      <c r="V28" s="80">
        <f t="shared" ca="1" si="9"/>
        <v>0.33333333329999998</v>
      </c>
      <c r="W28" s="249" t="str">
        <f t="shared" ca="1" si="10"/>
        <v/>
      </c>
      <c r="X28" s="293"/>
      <c r="Y28" s="221">
        <f t="shared" si="11"/>
        <v>0</v>
      </c>
      <c r="Z28" s="299">
        <f ca="1">IF(B28="","",INDIRECT(ADDRESS(MATCH(B28,Soll_AZ,1)+MATCH("Arbeitszeit 1 ab",Voreinstellung_Übersicht!B:B,0)-1,WEEKDAY(B28,2)+4,,,"Voreinstellung_Übersicht"),TRUE))</f>
        <v>0.33333333333333331</v>
      </c>
      <c r="AA28" s="300">
        <f t="shared" ca="1" si="40"/>
        <v>0</v>
      </c>
      <c r="AB28" s="219">
        <f t="shared" si="12"/>
        <v>0</v>
      </c>
      <c r="AC28" s="219">
        <f t="shared" si="13"/>
        <v>0</v>
      </c>
      <c r="AD28" s="219">
        <f t="shared" si="14"/>
        <v>0</v>
      </c>
      <c r="AE28" s="219">
        <f t="shared" si="15"/>
        <v>0</v>
      </c>
      <c r="AF28" s="219">
        <f t="shared" si="16"/>
        <v>0</v>
      </c>
      <c r="AG28" s="219">
        <f t="shared" si="17"/>
        <v>0</v>
      </c>
      <c r="AH28" s="219">
        <f t="shared" si="18"/>
        <v>0</v>
      </c>
      <c r="AI28" s="219">
        <f t="shared" si="19"/>
        <v>0</v>
      </c>
      <c r="AJ28" s="219">
        <f t="shared" si="20"/>
        <v>0</v>
      </c>
      <c r="AK28" s="219">
        <f t="shared" si="21"/>
        <v>0</v>
      </c>
      <c r="AL28" s="219">
        <f t="shared" si="22"/>
        <v>0</v>
      </c>
      <c r="AM28" s="219">
        <f t="shared" si="23"/>
        <v>0</v>
      </c>
      <c r="AN28" s="301">
        <f t="shared" si="24"/>
        <v>0</v>
      </c>
      <c r="AO28" s="301">
        <f t="shared" si="25"/>
        <v>0</v>
      </c>
      <c r="AP28" s="301">
        <f t="shared" si="26"/>
        <v>0</v>
      </c>
      <c r="AQ28" s="301">
        <f t="shared" si="27"/>
        <v>0</v>
      </c>
      <c r="AR28" s="301">
        <f t="shared" si="28"/>
        <v>0</v>
      </c>
      <c r="AS28" s="301">
        <f t="shared" si="29"/>
        <v>0</v>
      </c>
      <c r="AT28" s="302">
        <f t="shared" si="30"/>
        <v>0</v>
      </c>
      <c r="AU28" s="302">
        <f t="shared" si="31"/>
        <v>0</v>
      </c>
      <c r="AV28" s="81">
        <f t="shared" si="32"/>
        <v>0</v>
      </c>
      <c r="AW28" s="82">
        <f t="shared" si="33"/>
        <v>0</v>
      </c>
      <c r="AX28" s="81">
        <f t="shared" si="34"/>
        <v>0</v>
      </c>
      <c r="AY28" s="83">
        <f t="shared" si="35"/>
        <v>0</v>
      </c>
      <c r="AZ28" s="83">
        <f t="shared" si="36"/>
        <v>0</v>
      </c>
      <c r="BA28" s="82">
        <f>IF(OR(B28=Feiertage!$A$16,B28=Feiertage!$A$19),U28*Zuschläge_24_31/100,IF(AZ28&gt;0,AZ28*Feiertag_mit/100,IF(AX28&gt;0,AX28*Zuschläge_Sa/100,IF(AY28&gt;0,AY28*Zuschlag_So/100,0))))</f>
        <v>0</v>
      </c>
      <c r="BB28" s="82">
        <f>IF(AND(B28&lt;&gt;0,G28=Voreinstellung_Übersicht!$D$41),IF(EG=1,W28*Über_klein/100,IF(EG=2,W28*Über_groß/100,"Fehler")),0)</f>
        <v>0</v>
      </c>
      <c r="BC28" s="299">
        <f t="shared" ca="1" si="41"/>
        <v>0</v>
      </c>
      <c r="BD28" s="219">
        <f t="shared" ca="1" si="37"/>
        <v>1</v>
      </c>
      <c r="BE28" s="303">
        <f ca="1">IF(B28="","",INDIRECT(ADDRESS(MATCH(B28,Soll_AZ,1)+MATCH("Arbeitszeit 1 ab",Voreinstellung_Übersicht!B:B,0)-1,4,,,"Voreinstellung_Übersicht"),TRUE))</f>
        <v>1.6666666666666665</v>
      </c>
      <c r="BF28" s="1">
        <f t="shared" si="42"/>
        <v>0</v>
      </c>
    </row>
    <row r="29" spans="1:58" s="1" customFormat="1" ht="15" x14ac:dyDescent="0.3">
      <c r="A29" s="218">
        <f t="shared" si="0"/>
        <v>12</v>
      </c>
      <c r="B29" s="47">
        <f t="shared" si="38"/>
        <v>42084</v>
      </c>
      <c r="C29" s="219">
        <f t="shared" si="1"/>
        <v>1</v>
      </c>
      <c r="D29" s="220" t="str">
        <f t="shared" si="2"/>
        <v/>
      </c>
      <c r="E29" s="298" t="str">
        <f t="shared" si="3"/>
        <v/>
      </c>
      <c r="F29" s="87">
        <f t="shared" si="4"/>
        <v>42084</v>
      </c>
      <c r="G29" s="147"/>
      <c r="H29" s="74"/>
      <c r="I29" s="75"/>
      <c r="J29" s="221">
        <f t="shared" si="5"/>
        <v>0</v>
      </c>
      <c r="K29" s="76"/>
      <c r="L29" s="221">
        <f t="shared" si="43"/>
        <v>0</v>
      </c>
      <c r="M29" s="74"/>
      <c r="N29" s="75"/>
      <c r="O29" s="221">
        <f t="shared" si="6"/>
        <v>0</v>
      </c>
      <c r="P29" s="76"/>
      <c r="Q29" s="221">
        <f t="shared" si="44"/>
        <v>0</v>
      </c>
      <c r="R29" s="221">
        <f t="shared" si="45"/>
        <v>0</v>
      </c>
      <c r="S29" s="221">
        <f t="shared" si="7"/>
        <v>0</v>
      </c>
      <c r="T29" s="79">
        <f t="shared" si="8"/>
        <v>0</v>
      </c>
      <c r="U29" s="79">
        <f t="shared" si="39"/>
        <v>0</v>
      </c>
      <c r="V29" s="80">
        <f t="shared" ca="1" si="9"/>
        <v>0.33333333329999998</v>
      </c>
      <c r="W29" s="249" t="str">
        <f t="shared" ca="1" si="10"/>
        <v/>
      </c>
      <c r="X29" s="293"/>
      <c r="Y29" s="221">
        <f t="shared" si="11"/>
        <v>0</v>
      </c>
      <c r="Z29" s="299">
        <f ca="1">IF(B29="","",INDIRECT(ADDRESS(MATCH(B29,Soll_AZ,1)+MATCH("Arbeitszeit 1 ab",Voreinstellung_Übersicht!B:B,0)-1,WEEKDAY(B29,2)+4,,,"Voreinstellung_Übersicht"),TRUE))</f>
        <v>0.33333333333333331</v>
      </c>
      <c r="AA29" s="300">
        <f t="shared" ca="1" si="40"/>
        <v>0</v>
      </c>
      <c r="AB29" s="219">
        <f t="shared" si="12"/>
        <v>0</v>
      </c>
      <c r="AC29" s="219">
        <f t="shared" si="13"/>
        <v>0</v>
      </c>
      <c r="AD29" s="219">
        <f t="shared" si="14"/>
        <v>0</v>
      </c>
      <c r="AE29" s="219">
        <f t="shared" si="15"/>
        <v>0</v>
      </c>
      <c r="AF29" s="219">
        <f t="shared" si="16"/>
        <v>0</v>
      </c>
      <c r="AG29" s="219">
        <f t="shared" si="17"/>
        <v>0</v>
      </c>
      <c r="AH29" s="219">
        <f t="shared" si="18"/>
        <v>0</v>
      </c>
      <c r="AI29" s="219">
        <f t="shared" si="19"/>
        <v>0</v>
      </c>
      <c r="AJ29" s="219">
        <f t="shared" si="20"/>
        <v>0</v>
      </c>
      <c r="AK29" s="219">
        <f t="shared" si="21"/>
        <v>0</v>
      </c>
      <c r="AL29" s="219">
        <f t="shared" si="22"/>
        <v>0</v>
      </c>
      <c r="AM29" s="219">
        <f t="shared" si="23"/>
        <v>0</v>
      </c>
      <c r="AN29" s="301">
        <f t="shared" si="24"/>
        <v>0</v>
      </c>
      <c r="AO29" s="301">
        <f t="shared" si="25"/>
        <v>0</v>
      </c>
      <c r="AP29" s="301">
        <f t="shared" si="26"/>
        <v>0</v>
      </c>
      <c r="AQ29" s="301">
        <f t="shared" si="27"/>
        <v>0</v>
      </c>
      <c r="AR29" s="301">
        <f t="shared" si="28"/>
        <v>0</v>
      </c>
      <c r="AS29" s="301">
        <f t="shared" si="29"/>
        <v>0</v>
      </c>
      <c r="AT29" s="302">
        <f t="shared" si="30"/>
        <v>0</v>
      </c>
      <c r="AU29" s="302">
        <f t="shared" si="31"/>
        <v>0</v>
      </c>
      <c r="AV29" s="81">
        <f t="shared" si="32"/>
        <v>0</v>
      </c>
      <c r="AW29" s="82">
        <f t="shared" si="33"/>
        <v>0</v>
      </c>
      <c r="AX29" s="81">
        <f t="shared" si="34"/>
        <v>0</v>
      </c>
      <c r="AY29" s="83">
        <f t="shared" si="35"/>
        <v>0</v>
      </c>
      <c r="AZ29" s="83">
        <f t="shared" si="36"/>
        <v>0</v>
      </c>
      <c r="BA29" s="82">
        <f>IF(OR(B29=Feiertage!$A$16,B29=Feiertage!$A$19),U29*Zuschläge_24_31/100,IF(AZ29&gt;0,AZ29*Feiertag_mit/100,IF(AX29&gt;0,AX29*Zuschläge_Sa/100,IF(AY29&gt;0,AY29*Zuschlag_So/100,0))))</f>
        <v>0</v>
      </c>
      <c r="BB29" s="82">
        <f>IF(AND(B29&lt;&gt;0,G29=Voreinstellung_Übersicht!$D$41),IF(EG=1,W29*Über_klein/100,IF(EG=2,W29*Über_groß/100,"Fehler")),0)</f>
        <v>0</v>
      </c>
      <c r="BC29" s="299">
        <f t="shared" ca="1" si="41"/>
        <v>0</v>
      </c>
      <c r="BD29" s="219">
        <f t="shared" ca="1" si="37"/>
        <v>1</v>
      </c>
      <c r="BE29" s="303">
        <f ca="1">IF(B29="","",INDIRECT(ADDRESS(MATCH(B29,Soll_AZ,1)+MATCH("Arbeitszeit 1 ab",Voreinstellung_Übersicht!B:B,0)-1,4,,,"Voreinstellung_Übersicht"),TRUE))</f>
        <v>1.6666666666666665</v>
      </c>
      <c r="BF29" s="1">
        <f t="shared" si="42"/>
        <v>0</v>
      </c>
    </row>
    <row r="30" spans="1:58" s="1" customFormat="1" ht="15" x14ac:dyDescent="0.3">
      <c r="A30" s="218">
        <f t="shared" si="0"/>
        <v>12</v>
      </c>
      <c r="B30" s="47">
        <f t="shared" si="38"/>
        <v>42085</v>
      </c>
      <c r="C30" s="219">
        <f t="shared" si="1"/>
        <v>0</v>
      </c>
      <c r="D30" s="220" t="str">
        <f t="shared" si="2"/>
        <v/>
      </c>
      <c r="E30" s="298" t="str">
        <f t="shared" si="3"/>
        <v/>
      </c>
      <c r="F30" s="87">
        <f t="shared" si="4"/>
        <v>42085</v>
      </c>
      <c r="G30" s="147"/>
      <c r="H30" s="74"/>
      <c r="I30" s="75"/>
      <c r="J30" s="221">
        <f t="shared" si="5"/>
        <v>0</v>
      </c>
      <c r="K30" s="76"/>
      <c r="L30" s="221">
        <f t="shared" si="43"/>
        <v>0</v>
      </c>
      <c r="M30" s="74"/>
      <c r="N30" s="75"/>
      <c r="O30" s="221">
        <f t="shared" si="6"/>
        <v>0</v>
      </c>
      <c r="P30" s="76"/>
      <c r="Q30" s="221">
        <f t="shared" si="44"/>
        <v>0</v>
      </c>
      <c r="R30" s="221">
        <f t="shared" si="45"/>
        <v>0</v>
      </c>
      <c r="S30" s="221">
        <f t="shared" si="7"/>
        <v>0</v>
      </c>
      <c r="T30" s="79">
        <f t="shared" si="8"/>
        <v>0</v>
      </c>
      <c r="U30" s="79">
        <f t="shared" si="39"/>
        <v>0</v>
      </c>
      <c r="V30" s="80">
        <f t="shared" ca="1" si="9"/>
        <v>0</v>
      </c>
      <c r="W30" s="249" t="str">
        <f t="shared" ca="1" si="10"/>
        <v/>
      </c>
      <c r="X30" s="293"/>
      <c r="Y30" s="221">
        <f t="shared" si="11"/>
        <v>0</v>
      </c>
      <c r="Z30" s="299">
        <f ca="1">IF(B30="","",INDIRECT(ADDRESS(MATCH(B30,Soll_AZ,1)+MATCH("Arbeitszeit 1 ab",Voreinstellung_Übersicht!B:B,0)-1,WEEKDAY(B30,2)+4,,,"Voreinstellung_Übersicht"),TRUE))</f>
        <v>0</v>
      </c>
      <c r="AA30" s="300">
        <f t="shared" ca="1" si="40"/>
        <v>0</v>
      </c>
      <c r="AB30" s="219">
        <f t="shared" si="12"/>
        <v>0</v>
      </c>
      <c r="AC30" s="219">
        <f t="shared" si="13"/>
        <v>0</v>
      </c>
      <c r="AD30" s="219">
        <f t="shared" si="14"/>
        <v>0</v>
      </c>
      <c r="AE30" s="219">
        <f t="shared" si="15"/>
        <v>0</v>
      </c>
      <c r="AF30" s="219">
        <f t="shared" si="16"/>
        <v>0</v>
      </c>
      <c r="AG30" s="219">
        <f t="shared" si="17"/>
        <v>0</v>
      </c>
      <c r="AH30" s="219">
        <f t="shared" si="18"/>
        <v>0</v>
      </c>
      <c r="AI30" s="219">
        <f t="shared" si="19"/>
        <v>0</v>
      </c>
      <c r="AJ30" s="219">
        <f t="shared" si="20"/>
        <v>0</v>
      </c>
      <c r="AK30" s="219">
        <f t="shared" si="21"/>
        <v>0</v>
      </c>
      <c r="AL30" s="219">
        <f t="shared" si="22"/>
        <v>0</v>
      </c>
      <c r="AM30" s="219">
        <f t="shared" si="23"/>
        <v>0</v>
      </c>
      <c r="AN30" s="301">
        <f t="shared" si="24"/>
        <v>0</v>
      </c>
      <c r="AO30" s="301">
        <f t="shared" si="25"/>
        <v>0</v>
      </c>
      <c r="AP30" s="301">
        <f t="shared" si="26"/>
        <v>0</v>
      </c>
      <c r="AQ30" s="301">
        <f t="shared" si="27"/>
        <v>0</v>
      </c>
      <c r="AR30" s="301">
        <f t="shared" si="28"/>
        <v>0</v>
      </c>
      <c r="AS30" s="301">
        <f t="shared" si="29"/>
        <v>0</v>
      </c>
      <c r="AT30" s="302">
        <f t="shared" si="30"/>
        <v>0</v>
      </c>
      <c r="AU30" s="302">
        <f t="shared" si="31"/>
        <v>0</v>
      </c>
      <c r="AV30" s="81">
        <f t="shared" si="32"/>
        <v>0</v>
      </c>
      <c r="AW30" s="82">
        <f t="shared" si="33"/>
        <v>0</v>
      </c>
      <c r="AX30" s="81">
        <f t="shared" si="34"/>
        <v>0</v>
      </c>
      <c r="AY30" s="83">
        <f t="shared" si="35"/>
        <v>0</v>
      </c>
      <c r="AZ30" s="83">
        <f t="shared" si="36"/>
        <v>0</v>
      </c>
      <c r="BA30" s="82">
        <f>IF(OR(B30=Feiertage!$A$16,B30=Feiertage!$A$19),U30*Zuschläge_24_31/100,IF(AZ30&gt;0,AZ30*Feiertag_mit/100,IF(AX30&gt;0,AX30*Zuschläge_Sa/100,IF(AY30&gt;0,AY30*Zuschlag_So/100,0))))</f>
        <v>0</v>
      </c>
      <c r="BB30" s="82">
        <f>IF(AND(B30&lt;&gt;0,G30=Voreinstellung_Übersicht!$D$41),IF(EG=1,W30*Über_klein/100,IF(EG=2,W30*Über_groß/100,"Fehler")),0)</f>
        <v>0</v>
      </c>
      <c r="BC30" s="299">
        <f t="shared" ca="1" si="41"/>
        <v>0</v>
      </c>
      <c r="BD30" s="219">
        <f t="shared" ca="1" si="37"/>
        <v>1</v>
      </c>
      <c r="BE30" s="303">
        <f ca="1">IF(B30="","",INDIRECT(ADDRESS(MATCH(B30,Soll_AZ,1)+MATCH("Arbeitszeit 1 ab",Voreinstellung_Übersicht!B:B,0)-1,4,,,"Voreinstellung_Übersicht"),TRUE))</f>
        <v>1.6666666666666665</v>
      </c>
      <c r="BF30" s="1">
        <f t="shared" si="42"/>
        <v>0</v>
      </c>
    </row>
    <row r="31" spans="1:58" s="1" customFormat="1" ht="15" x14ac:dyDescent="0.3">
      <c r="A31" s="218">
        <f t="shared" si="0"/>
        <v>13</v>
      </c>
      <c r="B31" s="47">
        <f t="shared" si="38"/>
        <v>42086</v>
      </c>
      <c r="C31" s="219">
        <f t="shared" si="1"/>
        <v>0</v>
      </c>
      <c r="D31" s="220" t="str">
        <f t="shared" si="2"/>
        <v/>
      </c>
      <c r="E31" s="298" t="str">
        <f t="shared" si="3"/>
        <v/>
      </c>
      <c r="F31" s="87">
        <f t="shared" si="4"/>
        <v>42086</v>
      </c>
      <c r="G31" s="147"/>
      <c r="H31" s="74"/>
      <c r="I31" s="75"/>
      <c r="J31" s="221">
        <f t="shared" si="5"/>
        <v>0</v>
      </c>
      <c r="K31" s="76"/>
      <c r="L31" s="221">
        <f t="shared" si="43"/>
        <v>0</v>
      </c>
      <c r="M31" s="74"/>
      <c r="N31" s="75"/>
      <c r="O31" s="221">
        <f t="shared" si="6"/>
        <v>0</v>
      </c>
      <c r="P31" s="76"/>
      <c r="Q31" s="221">
        <f t="shared" si="44"/>
        <v>0</v>
      </c>
      <c r="R31" s="221">
        <f t="shared" si="45"/>
        <v>0</v>
      </c>
      <c r="S31" s="221">
        <f t="shared" si="7"/>
        <v>0</v>
      </c>
      <c r="T31" s="79">
        <f t="shared" si="8"/>
        <v>0</v>
      </c>
      <c r="U31" s="79">
        <f t="shared" si="39"/>
        <v>0</v>
      </c>
      <c r="V31" s="80">
        <f t="shared" ca="1" si="9"/>
        <v>0</v>
      </c>
      <c r="W31" s="249" t="str">
        <f t="shared" ca="1" si="10"/>
        <v/>
      </c>
      <c r="X31" s="293"/>
      <c r="Y31" s="221">
        <f t="shared" si="11"/>
        <v>0</v>
      </c>
      <c r="Z31" s="299">
        <f ca="1">IF(B31="","",INDIRECT(ADDRESS(MATCH(B31,Soll_AZ,1)+MATCH("Arbeitszeit 1 ab",Voreinstellung_Übersicht!B:B,0)-1,WEEKDAY(B31,2)+4,,,"Voreinstellung_Übersicht"),TRUE))</f>
        <v>0</v>
      </c>
      <c r="AA31" s="300">
        <f t="shared" ca="1" si="40"/>
        <v>0</v>
      </c>
      <c r="AB31" s="219">
        <f t="shared" si="12"/>
        <v>0</v>
      </c>
      <c r="AC31" s="219">
        <f t="shared" si="13"/>
        <v>0</v>
      </c>
      <c r="AD31" s="219">
        <f t="shared" si="14"/>
        <v>0</v>
      </c>
      <c r="AE31" s="219">
        <f t="shared" si="15"/>
        <v>0</v>
      </c>
      <c r="AF31" s="219">
        <f t="shared" si="16"/>
        <v>0</v>
      </c>
      <c r="AG31" s="219">
        <f t="shared" si="17"/>
        <v>0</v>
      </c>
      <c r="AH31" s="219">
        <f t="shared" si="18"/>
        <v>0</v>
      </c>
      <c r="AI31" s="219">
        <f t="shared" si="19"/>
        <v>0</v>
      </c>
      <c r="AJ31" s="219">
        <f t="shared" si="20"/>
        <v>0</v>
      </c>
      <c r="AK31" s="219">
        <f t="shared" si="21"/>
        <v>0</v>
      </c>
      <c r="AL31" s="219">
        <f t="shared" si="22"/>
        <v>0</v>
      </c>
      <c r="AM31" s="219">
        <f t="shared" si="23"/>
        <v>0</v>
      </c>
      <c r="AN31" s="301">
        <f t="shared" si="24"/>
        <v>0</v>
      </c>
      <c r="AO31" s="301">
        <f t="shared" si="25"/>
        <v>0</v>
      </c>
      <c r="AP31" s="301">
        <f t="shared" si="26"/>
        <v>0</v>
      </c>
      <c r="AQ31" s="301">
        <f t="shared" si="27"/>
        <v>0</v>
      </c>
      <c r="AR31" s="301">
        <f t="shared" si="28"/>
        <v>0</v>
      </c>
      <c r="AS31" s="301">
        <f t="shared" si="29"/>
        <v>0</v>
      </c>
      <c r="AT31" s="302">
        <f t="shared" si="30"/>
        <v>0</v>
      </c>
      <c r="AU31" s="302">
        <f t="shared" si="31"/>
        <v>0</v>
      </c>
      <c r="AV31" s="81">
        <f t="shared" si="32"/>
        <v>0</v>
      </c>
      <c r="AW31" s="82">
        <f t="shared" si="33"/>
        <v>0</v>
      </c>
      <c r="AX31" s="81">
        <f t="shared" si="34"/>
        <v>0</v>
      </c>
      <c r="AY31" s="83">
        <f t="shared" si="35"/>
        <v>0</v>
      </c>
      <c r="AZ31" s="83">
        <f t="shared" si="36"/>
        <v>0</v>
      </c>
      <c r="BA31" s="82">
        <f>IF(OR(B31=Feiertage!$A$16,B31=Feiertage!$A$19),U31*Zuschläge_24_31/100,IF(AZ31&gt;0,AZ31*Feiertag_mit/100,IF(AX31&gt;0,AX31*Zuschläge_Sa/100,IF(AY31&gt;0,AY31*Zuschlag_So/100,0))))</f>
        <v>0</v>
      </c>
      <c r="BB31" s="82">
        <f>IF(AND(B31&lt;&gt;0,G31=Voreinstellung_Übersicht!$D$41),IF(EG=1,W31*Über_klein/100,IF(EG=2,W31*Über_groß/100,"Fehler")),0)</f>
        <v>0</v>
      </c>
      <c r="BC31" s="299">
        <f t="shared" ca="1" si="41"/>
        <v>0</v>
      </c>
      <c r="BD31" s="219">
        <f t="shared" ca="1" si="37"/>
        <v>1</v>
      </c>
      <c r="BE31" s="303">
        <f ca="1">IF(B31="","",INDIRECT(ADDRESS(MATCH(B31,Soll_AZ,1)+MATCH("Arbeitszeit 1 ab",Voreinstellung_Übersicht!B:B,0)-1,4,,,"Voreinstellung_Übersicht"),TRUE))</f>
        <v>1.6666666666666665</v>
      </c>
      <c r="BF31" s="1">
        <f t="shared" si="42"/>
        <v>0</v>
      </c>
    </row>
    <row r="32" spans="1:58" s="1" customFormat="1" ht="15" x14ac:dyDescent="0.3">
      <c r="A32" s="218">
        <f t="shared" si="0"/>
        <v>13</v>
      </c>
      <c r="B32" s="47">
        <f t="shared" si="38"/>
        <v>42087</v>
      </c>
      <c r="C32" s="219">
        <f t="shared" si="1"/>
        <v>1</v>
      </c>
      <c r="D32" s="220" t="str">
        <f t="shared" si="2"/>
        <v/>
      </c>
      <c r="E32" s="298" t="str">
        <f t="shared" si="3"/>
        <v/>
      </c>
      <c r="F32" s="87">
        <f t="shared" si="4"/>
        <v>42087</v>
      </c>
      <c r="G32" s="147"/>
      <c r="H32" s="74"/>
      <c r="I32" s="75"/>
      <c r="J32" s="221">
        <f t="shared" si="5"/>
        <v>0</v>
      </c>
      <c r="K32" s="76"/>
      <c r="L32" s="221">
        <f t="shared" si="43"/>
        <v>0</v>
      </c>
      <c r="M32" s="74"/>
      <c r="N32" s="75"/>
      <c r="O32" s="221">
        <f t="shared" si="6"/>
        <v>0</v>
      </c>
      <c r="P32" s="76"/>
      <c r="Q32" s="221">
        <f t="shared" si="44"/>
        <v>0</v>
      </c>
      <c r="R32" s="221">
        <f t="shared" si="45"/>
        <v>0</v>
      </c>
      <c r="S32" s="221">
        <f t="shared" si="7"/>
        <v>0</v>
      </c>
      <c r="T32" s="79">
        <f t="shared" si="8"/>
        <v>0</v>
      </c>
      <c r="U32" s="79">
        <f t="shared" si="39"/>
        <v>0</v>
      </c>
      <c r="V32" s="80">
        <f t="shared" ca="1" si="9"/>
        <v>0.33333333329999998</v>
      </c>
      <c r="W32" s="249" t="str">
        <f t="shared" ca="1" si="10"/>
        <v/>
      </c>
      <c r="X32" s="293"/>
      <c r="Y32" s="221">
        <f t="shared" si="11"/>
        <v>0</v>
      </c>
      <c r="Z32" s="299">
        <f ca="1">IF(B32="","",INDIRECT(ADDRESS(MATCH(B32,Soll_AZ,1)+MATCH("Arbeitszeit 1 ab",Voreinstellung_Übersicht!B:B,0)-1,WEEKDAY(B32,2)+4,,,"Voreinstellung_Übersicht"),TRUE))</f>
        <v>0.33333333333333331</v>
      </c>
      <c r="AA32" s="300">
        <f t="shared" ca="1" si="40"/>
        <v>0</v>
      </c>
      <c r="AB32" s="219">
        <f t="shared" si="12"/>
        <v>0</v>
      </c>
      <c r="AC32" s="219">
        <f t="shared" si="13"/>
        <v>0</v>
      </c>
      <c r="AD32" s="219">
        <f t="shared" si="14"/>
        <v>0</v>
      </c>
      <c r="AE32" s="219">
        <f t="shared" si="15"/>
        <v>0</v>
      </c>
      <c r="AF32" s="219">
        <f t="shared" si="16"/>
        <v>0</v>
      </c>
      <c r="AG32" s="219">
        <f t="shared" si="17"/>
        <v>0</v>
      </c>
      <c r="AH32" s="219">
        <f t="shared" si="18"/>
        <v>0</v>
      </c>
      <c r="AI32" s="219">
        <f t="shared" si="19"/>
        <v>0</v>
      </c>
      <c r="AJ32" s="219">
        <f t="shared" si="20"/>
        <v>0</v>
      </c>
      <c r="AK32" s="219">
        <f t="shared" si="21"/>
        <v>0</v>
      </c>
      <c r="AL32" s="219">
        <f t="shared" si="22"/>
        <v>0</v>
      </c>
      <c r="AM32" s="219">
        <f t="shared" si="23"/>
        <v>0</v>
      </c>
      <c r="AN32" s="301">
        <f t="shared" si="24"/>
        <v>0</v>
      </c>
      <c r="AO32" s="301">
        <f t="shared" si="25"/>
        <v>0</v>
      </c>
      <c r="AP32" s="301">
        <f t="shared" si="26"/>
        <v>0</v>
      </c>
      <c r="AQ32" s="301">
        <f t="shared" si="27"/>
        <v>0</v>
      </c>
      <c r="AR32" s="301">
        <f t="shared" si="28"/>
        <v>0</v>
      </c>
      <c r="AS32" s="301">
        <f t="shared" si="29"/>
        <v>0</v>
      </c>
      <c r="AT32" s="302">
        <f t="shared" si="30"/>
        <v>0</v>
      </c>
      <c r="AU32" s="302">
        <f t="shared" si="31"/>
        <v>0</v>
      </c>
      <c r="AV32" s="81">
        <f t="shared" si="32"/>
        <v>0</v>
      </c>
      <c r="AW32" s="82">
        <f t="shared" si="33"/>
        <v>0</v>
      </c>
      <c r="AX32" s="81">
        <f t="shared" si="34"/>
        <v>0</v>
      </c>
      <c r="AY32" s="83">
        <f t="shared" si="35"/>
        <v>0</v>
      </c>
      <c r="AZ32" s="83">
        <f t="shared" si="36"/>
        <v>0</v>
      </c>
      <c r="BA32" s="82">
        <f>IF(OR(B32=Feiertage!$A$16,B32=Feiertage!$A$19),U32*Zuschläge_24_31/100,IF(AZ32&gt;0,AZ32*Feiertag_mit/100,IF(AX32&gt;0,AX32*Zuschläge_Sa/100,IF(AY32&gt;0,AY32*Zuschlag_So/100,0))))</f>
        <v>0</v>
      </c>
      <c r="BB32" s="82">
        <f>IF(AND(B32&lt;&gt;0,G32=Voreinstellung_Übersicht!$D$41),IF(EG=1,W32*Über_klein/100,IF(EG=2,W32*Über_groß/100,"Fehler")),0)</f>
        <v>0</v>
      </c>
      <c r="BC32" s="299">
        <f t="shared" ca="1" si="41"/>
        <v>0</v>
      </c>
      <c r="BD32" s="219">
        <f t="shared" ca="1" si="37"/>
        <v>1</v>
      </c>
      <c r="BE32" s="303">
        <f ca="1">IF(B32="","",INDIRECT(ADDRESS(MATCH(B32,Soll_AZ,1)+MATCH("Arbeitszeit 1 ab",Voreinstellung_Übersicht!B:B,0)-1,4,,,"Voreinstellung_Übersicht"),TRUE))</f>
        <v>1.6666666666666665</v>
      </c>
      <c r="BF32" s="1">
        <f t="shared" si="42"/>
        <v>0</v>
      </c>
    </row>
    <row r="33" spans="1:104" s="1" customFormat="1" ht="15" x14ac:dyDescent="0.3">
      <c r="A33" s="218">
        <f t="shared" si="0"/>
        <v>13</v>
      </c>
      <c r="B33" s="47">
        <f t="shared" si="38"/>
        <v>42088</v>
      </c>
      <c r="C33" s="219">
        <f t="shared" si="1"/>
        <v>1</v>
      </c>
      <c r="D33" s="220" t="str">
        <f t="shared" si="2"/>
        <v/>
      </c>
      <c r="E33" s="298" t="str">
        <f t="shared" si="3"/>
        <v/>
      </c>
      <c r="F33" s="87">
        <f t="shared" si="4"/>
        <v>42088</v>
      </c>
      <c r="G33" s="147"/>
      <c r="H33" s="74"/>
      <c r="I33" s="75"/>
      <c r="J33" s="221">
        <f t="shared" si="5"/>
        <v>0</v>
      </c>
      <c r="K33" s="76"/>
      <c r="L33" s="221">
        <f t="shared" si="43"/>
        <v>0</v>
      </c>
      <c r="M33" s="74"/>
      <c r="N33" s="75"/>
      <c r="O33" s="221">
        <f t="shared" si="6"/>
        <v>0</v>
      </c>
      <c r="P33" s="76"/>
      <c r="Q33" s="221">
        <f t="shared" si="44"/>
        <v>0</v>
      </c>
      <c r="R33" s="221">
        <f t="shared" si="45"/>
        <v>0</v>
      </c>
      <c r="S33" s="221">
        <f t="shared" si="7"/>
        <v>0</v>
      </c>
      <c r="T33" s="79">
        <f t="shared" si="8"/>
        <v>0</v>
      </c>
      <c r="U33" s="79">
        <f t="shared" si="39"/>
        <v>0</v>
      </c>
      <c r="V33" s="80">
        <f t="shared" ca="1" si="9"/>
        <v>0.33333333329999998</v>
      </c>
      <c r="W33" s="249" t="str">
        <f t="shared" ca="1" si="10"/>
        <v/>
      </c>
      <c r="X33" s="293"/>
      <c r="Y33" s="221">
        <f t="shared" si="11"/>
        <v>0</v>
      </c>
      <c r="Z33" s="299">
        <f ca="1">IF(B33="","",INDIRECT(ADDRESS(MATCH(B33,Soll_AZ,1)+MATCH("Arbeitszeit 1 ab",Voreinstellung_Übersicht!B:B,0)-1,WEEKDAY(B33,2)+4,,,"Voreinstellung_Übersicht"),TRUE))</f>
        <v>0.33333333333333331</v>
      </c>
      <c r="AA33" s="300">
        <f t="shared" ca="1" si="40"/>
        <v>0</v>
      </c>
      <c r="AB33" s="219">
        <f t="shared" si="12"/>
        <v>0</v>
      </c>
      <c r="AC33" s="219">
        <f t="shared" si="13"/>
        <v>0</v>
      </c>
      <c r="AD33" s="219">
        <f t="shared" si="14"/>
        <v>0</v>
      </c>
      <c r="AE33" s="219">
        <f t="shared" si="15"/>
        <v>0</v>
      </c>
      <c r="AF33" s="219">
        <f t="shared" si="16"/>
        <v>0</v>
      </c>
      <c r="AG33" s="219">
        <f t="shared" si="17"/>
        <v>0</v>
      </c>
      <c r="AH33" s="219">
        <f t="shared" si="18"/>
        <v>0</v>
      </c>
      <c r="AI33" s="219">
        <f t="shared" si="19"/>
        <v>0</v>
      </c>
      <c r="AJ33" s="219">
        <f t="shared" si="20"/>
        <v>0</v>
      </c>
      <c r="AK33" s="219">
        <f t="shared" si="21"/>
        <v>0</v>
      </c>
      <c r="AL33" s="219">
        <f t="shared" si="22"/>
        <v>0</v>
      </c>
      <c r="AM33" s="219">
        <f t="shared" si="23"/>
        <v>0</v>
      </c>
      <c r="AN33" s="301">
        <f t="shared" si="24"/>
        <v>0</v>
      </c>
      <c r="AO33" s="301">
        <f t="shared" si="25"/>
        <v>0</v>
      </c>
      <c r="AP33" s="301">
        <f t="shared" si="26"/>
        <v>0</v>
      </c>
      <c r="AQ33" s="301">
        <f t="shared" si="27"/>
        <v>0</v>
      </c>
      <c r="AR33" s="301">
        <f t="shared" si="28"/>
        <v>0</v>
      </c>
      <c r="AS33" s="301">
        <f t="shared" si="29"/>
        <v>0</v>
      </c>
      <c r="AT33" s="302">
        <f t="shared" si="30"/>
        <v>0</v>
      </c>
      <c r="AU33" s="302">
        <f t="shared" si="31"/>
        <v>0</v>
      </c>
      <c r="AV33" s="81">
        <f t="shared" si="32"/>
        <v>0</v>
      </c>
      <c r="AW33" s="82">
        <f t="shared" si="33"/>
        <v>0</v>
      </c>
      <c r="AX33" s="81">
        <f t="shared" si="34"/>
        <v>0</v>
      </c>
      <c r="AY33" s="83">
        <f t="shared" si="35"/>
        <v>0</v>
      </c>
      <c r="AZ33" s="83">
        <f t="shared" si="36"/>
        <v>0</v>
      </c>
      <c r="BA33" s="82">
        <f>IF(OR(B33=Feiertage!$A$16,B33=Feiertage!$A$19),U33*Zuschläge_24_31/100,IF(AZ33&gt;0,AZ33*Feiertag_mit/100,IF(AX33&gt;0,AX33*Zuschläge_Sa/100,IF(AY33&gt;0,AY33*Zuschlag_So/100,0))))</f>
        <v>0</v>
      </c>
      <c r="BB33" s="82">
        <f>IF(AND(B33&lt;&gt;0,G33=Voreinstellung_Übersicht!$D$41),IF(EG=1,W33*Über_klein/100,IF(EG=2,W33*Über_groß/100,"Fehler")),0)</f>
        <v>0</v>
      </c>
      <c r="BC33" s="299">
        <f t="shared" ca="1" si="41"/>
        <v>0</v>
      </c>
      <c r="BD33" s="219">
        <f t="shared" ca="1" si="37"/>
        <v>1</v>
      </c>
      <c r="BE33" s="303">
        <f ca="1">IF(B33="","",INDIRECT(ADDRESS(MATCH(B33,Soll_AZ,1)+MATCH("Arbeitszeit 1 ab",Voreinstellung_Übersicht!B:B,0)-1,4,,,"Voreinstellung_Übersicht"),TRUE))</f>
        <v>1.6666666666666665</v>
      </c>
      <c r="BF33" s="1">
        <f t="shared" si="42"/>
        <v>0</v>
      </c>
    </row>
    <row r="34" spans="1:104" s="1" customFormat="1" ht="15" x14ac:dyDescent="0.3">
      <c r="A34" s="218">
        <f t="shared" si="0"/>
        <v>13</v>
      </c>
      <c r="B34" s="47">
        <f t="shared" si="38"/>
        <v>42089</v>
      </c>
      <c r="C34" s="219">
        <f t="shared" si="1"/>
        <v>1</v>
      </c>
      <c r="D34" s="220" t="str">
        <f t="shared" si="2"/>
        <v/>
      </c>
      <c r="E34" s="298" t="str">
        <f t="shared" si="3"/>
        <v/>
      </c>
      <c r="F34" s="87">
        <f t="shared" si="4"/>
        <v>42089</v>
      </c>
      <c r="G34" s="147"/>
      <c r="H34" s="74"/>
      <c r="I34" s="75"/>
      <c r="J34" s="221">
        <f t="shared" si="5"/>
        <v>0</v>
      </c>
      <c r="K34" s="76"/>
      <c r="L34" s="221">
        <f t="shared" si="43"/>
        <v>0</v>
      </c>
      <c r="M34" s="74"/>
      <c r="N34" s="75"/>
      <c r="O34" s="221">
        <f t="shared" si="6"/>
        <v>0</v>
      </c>
      <c r="P34" s="76"/>
      <c r="Q34" s="221">
        <f t="shared" si="44"/>
        <v>0</v>
      </c>
      <c r="R34" s="221">
        <f t="shared" si="45"/>
        <v>0</v>
      </c>
      <c r="S34" s="221">
        <f t="shared" si="7"/>
        <v>0</v>
      </c>
      <c r="T34" s="79">
        <f t="shared" si="8"/>
        <v>0</v>
      </c>
      <c r="U34" s="79">
        <f t="shared" si="39"/>
        <v>0</v>
      </c>
      <c r="V34" s="80">
        <f t="shared" ca="1" si="9"/>
        <v>0.33333333329999998</v>
      </c>
      <c r="W34" s="249" t="str">
        <f t="shared" ca="1" si="10"/>
        <v/>
      </c>
      <c r="X34" s="293"/>
      <c r="Y34" s="221">
        <f t="shared" si="11"/>
        <v>0</v>
      </c>
      <c r="Z34" s="299">
        <f ca="1">IF(B34="","",INDIRECT(ADDRESS(MATCH(B34,Soll_AZ,1)+MATCH("Arbeitszeit 1 ab",Voreinstellung_Übersicht!B:B,0)-1,WEEKDAY(B34,2)+4,,,"Voreinstellung_Übersicht"),TRUE))</f>
        <v>0.33333333333333331</v>
      </c>
      <c r="AA34" s="300">
        <f t="shared" ca="1" si="40"/>
        <v>0</v>
      </c>
      <c r="AB34" s="219">
        <f t="shared" si="12"/>
        <v>0</v>
      </c>
      <c r="AC34" s="219">
        <f t="shared" si="13"/>
        <v>0</v>
      </c>
      <c r="AD34" s="219">
        <f t="shared" si="14"/>
        <v>0</v>
      </c>
      <c r="AE34" s="219">
        <f t="shared" si="15"/>
        <v>0</v>
      </c>
      <c r="AF34" s="219">
        <f t="shared" si="16"/>
        <v>0</v>
      </c>
      <c r="AG34" s="219">
        <f t="shared" si="17"/>
        <v>0</v>
      </c>
      <c r="AH34" s="219">
        <f t="shared" si="18"/>
        <v>0</v>
      </c>
      <c r="AI34" s="219">
        <f t="shared" si="19"/>
        <v>0</v>
      </c>
      <c r="AJ34" s="219">
        <f t="shared" si="20"/>
        <v>0</v>
      </c>
      <c r="AK34" s="219">
        <f t="shared" si="21"/>
        <v>0</v>
      </c>
      <c r="AL34" s="219">
        <f t="shared" si="22"/>
        <v>0</v>
      </c>
      <c r="AM34" s="219">
        <f t="shared" si="23"/>
        <v>0</v>
      </c>
      <c r="AN34" s="301">
        <f t="shared" si="24"/>
        <v>0</v>
      </c>
      <c r="AO34" s="301">
        <f t="shared" si="25"/>
        <v>0</v>
      </c>
      <c r="AP34" s="301">
        <f t="shared" si="26"/>
        <v>0</v>
      </c>
      <c r="AQ34" s="301">
        <f t="shared" si="27"/>
        <v>0</v>
      </c>
      <c r="AR34" s="301">
        <f t="shared" si="28"/>
        <v>0</v>
      </c>
      <c r="AS34" s="301">
        <f t="shared" si="29"/>
        <v>0</v>
      </c>
      <c r="AT34" s="302">
        <f t="shared" si="30"/>
        <v>0</v>
      </c>
      <c r="AU34" s="302">
        <f t="shared" si="31"/>
        <v>0</v>
      </c>
      <c r="AV34" s="81">
        <f t="shared" si="32"/>
        <v>0</v>
      </c>
      <c r="AW34" s="82">
        <f t="shared" si="33"/>
        <v>0</v>
      </c>
      <c r="AX34" s="81">
        <f t="shared" si="34"/>
        <v>0</v>
      </c>
      <c r="AY34" s="83">
        <f t="shared" si="35"/>
        <v>0</v>
      </c>
      <c r="AZ34" s="83">
        <f t="shared" si="36"/>
        <v>0</v>
      </c>
      <c r="BA34" s="82">
        <f>IF(OR(B34=Feiertage!$A$16,B34=Feiertage!$A$19),U34*Zuschläge_24_31/100,IF(AZ34&gt;0,AZ34*Feiertag_mit/100,IF(AX34&gt;0,AX34*Zuschläge_Sa/100,IF(AY34&gt;0,AY34*Zuschlag_So/100,0))))</f>
        <v>0</v>
      </c>
      <c r="BB34" s="82">
        <f>IF(AND(B34&lt;&gt;0,G34=Voreinstellung_Übersicht!$D$41),IF(EG=1,W34*Über_klein/100,IF(EG=2,W34*Über_groß/100,"Fehler")),0)</f>
        <v>0</v>
      </c>
      <c r="BC34" s="299">
        <f t="shared" ca="1" si="41"/>
        <v>0</v>
      </c>
      <c r="BD34" s="219">
        <f t="shared" ca="1" si="37"/>
        <v>1</v>
      </c>
      <c r="BE34" s="303">
        <f ca="1">IF(B34="","",INDIRECT(ADDRESS(MATCH(B34,Soll_AZ,1)+MATCH("Arbeitszeit 1 ab",Voreinstellung_Übersicht!B:B,0)-1,4,,,"Voreinstellung_Übersicht"),TRUE))</f>
        <v>1.6666666666666665</v>
      </c>
      <c r="BF34" s="1">
        <f t="shared" si="42"/>
        <v>0</v>
      </c>
    </row>
    <row r="35" spans="1:104" s="1" customFormat="1" ht="15" x14ac:dyDescent="0.3">
      <c r="A35" s="218">
        <f t="shared" si="0"/>
        <v>13</v>
      </c>
      <c r="B35" s="47">
        <f t="shared" si="38"/>
        <v>42090</v>
      </c>
      <c r="C35" s="219">
        <f t="shared" si="1"/>
        <v>1</v>
      </c>
      <c r="D35" s="220" t="str">
        <f t="shared" si="2"/>
        <v/>
      </c>
      <c r="E35" s="298" t="str">
        <f t="shared" si="3"/>
        <v/>
      </c>
      <c r="F35" s="87">
        <f t="shared" si="4"/>
        <v>42090</v>
      </c>
      <c r="G35" s="147"/>
      <c r="H35" s="74"/>
      <c r="I35" s="75"/>
      <c r="J35" s="221">
        <f t="shared" si="5"/>
        <v>0</v>
      </c>
      <c r="K35" s="76"/>
      <c r="L35" s="221">
        <f t="shared" si="43"/>
        <v>0</v>
      </c>
      <c r="M35" s="74"/>
      <c r="N35" s="75"/>
      <c r="O35" s="221">
        <f t="shared" si="6"/>
        <v>0</v>
      </c>
      <c r="P35" s="76"/>
      <c r="Q35" s="221">
        <f t="shared" si="44"/>
        <v>0</v>
      </c>
      <c r="R35" s="221">
        <f t="shared" si="45"/>
        <v>0</v>
      </c>
      <c r="S35" s="221">
        <f t="shared" si="7"/>
        <v>0</v>
      </c>
      <c r="T35" s="79">
        <f t="shared" si="8"/>
        <v>0</v>
      </c>
      <c r="U35" s="79">
        <f t="shared" si="39"/>
        <v>0</v>
      </c>
      <c r="V35" s="80">
        <f t="shared" ca="1" si="9"/>
        <v>0.33333333329999998</v>
      </c>
      <c r="W35" s="249" t="str">
        <f t="shared" ca="1" si="10"/>
        <v/>
      </c>
      <c r="X35" s="293"/>
      <c r="Y35" s="221">
        <f t="shared" si="11"/>
        <v>0</v>
      </c>
      <c r="Z35" s="299">
        <f ca="1">IF(B35="","",INDIRECT(ADDRESS(MATCH(B35,Soll_AZ,1)+MATCH("Arbeitszeit 1 ab",Voreinstellung_Übersicht!B:B,0)-1,WEEKDAY(B35,2)+4,,,"Voreinstellung_Übersicht"),TRUE))</f>
        <v>0.33333333333333331</v>
      </c>
      <c r="AA35" s="300">
        <f t="shared" ca="1" si="40"/>
        <v>0</v>
      </c>
      <c r="AB35" s="219">
        <f t="shared" si="12"/>
        <v>0</v>
      </c>
      <c r="AC35" s="219">
        <f t="shared" si="13"/>
        <v>0</v>
      </c>
      <c r="AD35" s="219">
        <f t="shared" si="14"/>
        <v>0</v>
      </c>
      <c r="AE35" s="219">
        <f t="shared" si="15"/>
        <v>0</v>
      </c>
      <c r="AF35" s="219">
        <f t="shared" si="16"/>
        <v>0</v>
      </c>
      <c r="AG35" s="219">
        <f t="shared" si="17"/>
        <v>0</v>
      </c>
      <c r="AH35" s="219">
        <f t="shared" si="18"/>
        <v>0</v>
      </c>
      <c r="AI35" s="219">
        <f t="shared" si="19"/>
        <v>0</v>
      </c>
      <c r="AJ35" s="219">
        <f t="shared" si="20"/>
        <v>0</v>
      </c>
      <c r="AK35" s="219">
        <f t="shared" si="21"/>
        <v>0</v>
      </c>
      <c r="AL35" s="219">
        <f t="shared" si="22"/>
        <v>0</v>
      </c>
      <c r="AM35" s="219">
        <f t="shared" si="23"/>
        <v>0</v>
      </c>
      <c r="AN35" s="301">
        <f t="shared" si="24"/>
        <v>0</v>
      </c>
      <c r="AO35" s="301">
        <f t="shared" si="25"/>
        <v>0</v>
      </c>
      <c r="AP35" s="301">
        <f t="shared" si="26"/>
        <v>0</v>
      </c>
      <c r="AQ35" s="301">
        <f t="shared" si="27"/>
        <v>0</v>
      </c>
      <c r="AR35" s="301">
        <f t="shared" si="28"/>
        <v>0</v>
      </c>
      <c r="AS35" s="301">
        <f t="shared" si="29"/>
        <v>0</v>
      </c>
      <c r="AT35" s="302">
        <f t="shared" si="30"/>
        <v>0</v>
      </c>
      <c r="AU35" s="302">
        <f t="shared" si="31"/>
        <v>0</v>
      </c>
      <c r="AV35" s="81">
        <f t="shared" si="32"/>
        <v>0</v>
      </c>
      <c r="AW35" s="82">
        <f t="shared" si="33"/>
        <v>0</v>
      </c>
      <c r="AX35" s="81">
        <f t="shared" si="34"/>
        <v>0</v>
      </c>
      <c r="AY35" s="83">
        <f t="shared" si="35"/>
        <v>0</v>
      </c>
      <c r="AZ35" s="83">
        <f t="shared" si="36"/>
        <v>0</v>
      </c>
      <c r="BA35" s="82">
        <f>IF(OR(B35=Feiertage!$A$16,B35=Feiertage!$A$19),U35*Zuschläge_24_31/100,IF(AZ35&gt;0,AZ35*Feiertag_mit/100,IF(AX35&gt;0,AX35*Zuschläge_Sa/100,IF(AY35&gt;0,AY35*Zuschlag_So/100,0))))</f>
        <v>0</v>
      </c>
      <c r="BB35" s="82">
        <f>IF(AND(B35&lt;&gt;0,G35=Voreinstellung_Übersicht!$D$41),IF(EG=1,W35*Über_klein/100,IF(EG=2,W35*Über_groß/100,"Fehler")),0)</f>
        <v>0</v>
      </c>
      <c r="BC35" s="299">
        <f t="shared" ca="1" si="41"/>
        <v>0</v>
      </c>
      <c r="BD35" s="219">
        <f t="shared" ca="1" si="37"/>
        <v>1</v>
      </c>
      <c r="BE35" s="303">
        <f ca="1">IF(B35="","",INDIRECT(ADDRESS(MATCH(B35,Soll_AZ,1)+MATCH("Arbeitszeit 1 ab",Voreinstellung_Übersicht!B:B,0)-1,4,,,"Voreinstellung_Übersicht"),TRUE))</f>
        <v>1.6666666666666665</v>
      </c>
      <c r="BF35" s="1">
        <f t="shared" si="42"/>
        <v>0</v>
      </c>
    </row>
    <row r="36" spans="1:104" s="1" customFormat="1" ht="15" x14ac:dyDescent="0.3">
      <c r="A36" s="218">
        <f t="shared" si="0"/>
        <v>13</v>
      </c>
      <c r="B36" s="47">
        <f t="shared" si="38"/>
        <v>42091</v>
      </c>
      <c r="C36" s="219">
        <f t="shared" si="1"/>
        <v>1</v>
      </c>
      <c r="D36" s="220" t="str">
        <f t="shared" si="2"/>
        <v/>
      </c>
      <c r="E36" s="298" t="str">
        <f t="shared" si="3"/>
        <v/>
      </c>
      <c r="F36" s="87">
        <f t="shared" si="4"/>
        <v>42091</v>
      </c>
      <c r="G36" s="147"/>
      <c r="H36" s="74"/>
      <c r="I36" s="75"/>
      <c r="J36" s="221">
        <f t="shared" si="5"/>
        <v>0</v>
      </c>
      <c r="K36" s="76"/>
      <c r="L36" s="221">
        <f t="shared" si="43"/>
        <v>0</v>
      </c>
      <c r="M36" s="74"/>
      <c r="N36" s="75"/>
      <c r="O36" s="221">
        <f t="shared" si="6"/>
        <v>0</v>
      </c>
      <c r="P36" s="76"/>
      <c r="Q36" s="221">
        <f t="shared" si="44"/>
        <v>0</v>
      </c>
      <c r="R36" s="221">
        <f t="shared" si="45"/>
        <v>0</v>
      </c>
      <c r="S36" s="221">
        <f t="shared" si="7"/>
        <v>0</v>
      </c>
      <c r="T36" s="79">
        <f t="shared" si="8"/>
        <v>0</v>
      </c>
      <c r="U36" s="79">
        <f t="shared" si="39"/>
        <v>0</v>
      </c>
      <c r="V36" s="80">
        <f t="shared" ca="1" si="9"/>
        <v>0.33333333329999998</v>
      </c>
      <c r="W36" s="249" t="str">
        <f t="shared" ca="1" si="10"/>
        <v/>
      </c>
      <c r="X36" s="293"/>
      <c r="Y36" s="221">
        <f t="shared" si="11"/>
        <v>0</v>
      </c>
      <c r="Z36" s="299">
        <f ca="1">IF(B36="","",INDIRECT(ADDRESS(MATCH(B36,Soll_AZ,1)+MATCH("Arbeitszeit 1 ab",Voreinstellung_Übersicht!B:B,0)-1,WEEKDAY(B36,2)+4,,,"Voreinstellung_Übersicht"),TRUE))</f>
        <v>0.33333333333333331</v>
      </c>
      <c r="AA36" s="300">
        <f t="shared" ca="1" si="40"/>
        <v>0</v>
      </c>
      <c r="AB36" s="219">
        <f t="shared" si="12"/>
        <v>0</v>
      </c>
      <c r="AC36" s="219">
        <f t="shared" si="13"/>
        <v>0</v>
      </c>
      <c r="AD36" s="219">
        <f t="shared" si="14"/>
        <v>0</v>
      </c>
      <c r="AE36" s="219">
        <f t="shared" si="15"/>
        <v>0</v>
      </c>
      <c r="AF36" s="219">
        <f t="shared" si="16"/>
        <v>0</v>
      </c>
      <c r="AG36" s="219">
        <f t="shared" si="17"/>
        <v>0</v>
      </c>
      <c r="AH36" s="219">
        <f t="shared" si="18"/>
        <v>0</v>
      </c>
      <c r="AI36" s="219">
        <f t="shared" si="19"/>
        <v>0</v>
      </c>
      <c r="AJ36" s="219">
        <f t="shared" si="20"/>
        <v>0</v>
      </c>
      <c r="AK36" s="219">
        <f t="shared" si="21"/>
        <v>0</v>
      </c>
      <c r="AL36" s="219">
        <f t="shared" si="22"/>
        <v>0</v>
      </c>
      <c r="AM36" s="219">
        <f t="shared" si="23"/>
        <v>0</v>
      </c>
      <c r="AN36" s="301">
        <f t="shared" si="24"/>
        <v>0</v>
      </c>
      <c r="AO36" s="301">
        <f t="shared" si="25"/>
        <v>0</v>
      </c>
      <c r="AP36" s="301">
        <f t="shared" si="26"/>
        <v>0</v>
      </c>
      <c r="AQ36" s="301">
        <f t="shared" si="27"/>
        <v>0</v>
      </c>
      <c r="AR36" s="301">
        <f t="shared" si="28"/>
        <v>0</v>
      </c>
      <c r="AS36" s="301">
        <f t="shared" si="29"/>
        <v>0</v>
      </c>
      <c r="AT36" s="302">
        <f t="shared" si="30"/>
        <v>0</v>
      </c>
      <c r="AU36" s="302">
        <f t="shared" si="31"/>
        <v>0</v>
      </c>
      <c r="AV36" s="81">
        <f t="shared" si="32"/>
        <v>0</v>
      </c>
      <c r="AW36" s="82">
        <f t="shared" si="33"/>
        <v>0</v>
      </c>
      <c r="AX36" s="81">
        <f t="shared" si="34"/>
        <v>0</v>
      </c>
      <c r="AY36" s="83">
        <f t="shared" si="35"/>
        <v>0</v>
      </c>
      <c r="AZ36" s="83">
        <f t="shared" si="36"/>
        <v>0</v>
      </c>
      <c r="BA36" s="82">
        <f>IF(OR(B36=Feiertage!$A$16,B36=Feiertage!$A$19),U36*Zuschläge_24_31/100,IF(AZ36&gt;0,AZ36*Feiertag_mit/100,IF(AX36&gt;0,AX36*Zuschläge_Sa/100,IF(AY36&gt;0,AY36*Zuschlag_So/100,0))))</f>
        <v>0</v>
      </c>
      <c r="BB36" s="82">
        <f>IF(AND(B36&lt;&gt;0,G36=Voreinstellung_Übersicht!$D$41),IF(EG=1,W36*Über_klein/100,IF(EG=2,W36*Über_groß/100,"Fehler")),0)</f>
        <v>0</v>
      </c>
      <c r="BC36" s="299">
        <f t="shared" ca="1" si="41"/>
        <v>0</v>
      </c>
      <c r="BD36" s="219">
        <f t="shared" ca="1" si="37"/>
        <v>1</v>
      </c>
      <c r="BE36" s="303">
        <f ca="1">IF(B36="","",INDIRECT(ADDRESS(MATCH(B36,Soll_AZ,1)+MATCH("Arbeitszeit 1 ab",Voreinstellung_Übersicht!B:B,0)-1,4,,,"Voreinstellung_Übersicht"),TRUE))</f>
        <v>1.6666666666666665</v>
      </c>
      <c r="BF36" s="1">
        <f t="shared" si="42"/>
        <v>0</v>
      </c>
    </row>
    <row r="37" spans="1:104" s="1" customFormat="1" ht="15" x14ac:dyDescent="0.3">
      <c r="A37" s="218">
        <f t="shared" si="0"/>
        <v>13</v>
      </c>
      <c r="B37" s="47">
        <f t="shared" si="38"/>
        <v>42092</v>
      </c>
      <c r="C37" s="219">
        <f t="shared" si="1"/>
        <v>0</v>
      </c>
      <c r="D37" s="220" t="str">
        <f t="shared" si="2"/>
        <v/>
      </c>
      <c r="E37" s="298" t="str">
        <f t="shared" si="3"/>
        <v/>
      </c>
      <c r="F37" s="87">
        <f t="shared" si="4"/>
        <v>42092</v>
      </c>
      <c r="G37" s="147"/>
      <c r="H37" s="74"/>
      <c r="I37" s="75"/>
      <c r="J37" s="221">
        <f t="shared" si="5"/>
        <v>0</v>
      </c>
      <c r="K37" s="76"/>
      <c r="L37" s="221">
        <f t="shared" si="43"/>
        <v>0</v>
      </c>
      <c r="M37" s="74"/>
      <c r="N37" s="75"/>
      <c r="O37" s="221">
        <f t="shared" si="6"/>
        <v>0</v>
      </c>
      <c r="P37" s="76"/>
      <c r="Q37" s="221">
        <f t="shared" si="44"/>
        <v>0</v>
      </c>
      <c r="R37" s="221">
        <f t="shared" si="45"/>
        <v>0</v>
      </c>
      <c r="S37" s="221">
        <f t="shared" si="7"/>
        <v>0</v>
      </c>
      <c r="T37" s="79">
        <f t="shared" si="8"/>
        <v>0</v>
      </c>
      <c r="U37" s="79">
        <f t="shared" si="39"/>
        <v>0</v>
      </c>
      <c r="V37" s="80">
        <f t="shared" ca="1" si="9"/>
        <v>0</v>
      </c>
      <c r="W37" s="249" t="str">
        <f t="shared" ca="1" si="10"/>
        <v/>
      </c>
      <c r="X37" s="293"/>
      <c r="Y37" s="221">
        <f t="shared" si="11"/>
        <v>0</v>
      </c>
      <c r="Z37" s="299">
        <f ca="1">IF(B37="","",INDIRECT(ADDRESS(MATCH(B37,Soll_AZ,1)+MATCH("Arbeitszeit 1 ab",Voreinstellung_Übersicht!B:B,0)-1,WEEKDAY(B37,2)+4,,,"Voreinstellung_Übersicht"),TRUE))</f>
        <v>0</v>
      </c>
      <c r="AA37" s="300">
        <f t="shared" ca="1" si="40"/>
        <v>0</v>
      </c>
      <c r="AB37" s="219">
        <f t="shared" si="12"/>
        <v>0</v>
      </c>
      <c r="AC37" s="219">
        <f t="shared" si="13"/>
        <v>0</v>
      </c>
      <c r="AD37" s="219">
        <f t="shared" si="14"/>
        <v>0</v>
      </c>
      <c r="AE37" s="219">
        <f t="shared" si="15"/>
        <v>0</v>
      </c>
      <c r="AF37" s="219">
        <f t="shared" si="16"/>
        <v>0</v>
      </c>
      <c r="AG37" s="219">
        <f t="shared" si="17"/>
        <v>0</v>
      </c>
      <c r="AH37" s="219">
        <f t="shared" si="18"/>
        <v>0</v>
      </c>
      <c r="AI37" s="219">
        <f t="shared" si="19"/>
        <v>0</v>
      </c>
      <c r="AJ37" s="219">
        <f t="shared" si="20"/>
        <v>0</v>
      </c>
      <c r="AK37" s="219">
        <f t="shared" si="21"/>
        <v>0</v>
      </c>
      <c r="AL37" s="219">
        <f t="shared" si="22"/>
        <v>0</v>
      </c>
      <c r="AM37" s="219">
        <f t="shared" si="23"/>
        <v>0</v>
      </c>
      <c r="AN37" s="301">
        <f t="shared" si="24"/>
        <v>0</v>
      </c>
      <c r="AO37" s="301">
        <f t="shared" si="25"/>
        <v>0</v>
      </c>
      <c r="AP37" s="301">
        <f t="shared" si="26"/>
        <v>0</v>
      </c>
      <c r="AQ37" s="301">
        <f t="shared" si="27"/>
        <v>0</v>
      </c>
      <c r="AR37" s="301">
        <f t="shared" si="28"/>
        <v>0</v>
      </c>
      <c r="AS37" s="301">
        <f t="shared" si="29"/>
        <v>0</v>
      </c>
      <c r="AT37" s="302">
        <f t="shared" si="30"/>
        <v>0</v>
      </c>
      <c r="AU37" s="302">
        <f t="shared" si="31"/>
        <v>0</v>
      </c>
      <c r="AV37" s="81">
        <f t="shared" si="32"/>
        <v>0</v>
      </c>
      <c r="AW37" s="82">
        <f t="shared" si="33"/>
        <v>0</v>
      </c>
      <c r="AX37" s="81">
        <f t="shared" si="34"/>
        <v>0</v>
      </c>
      <c r="AY37" s="83">
        <f t="shared" si="35"/>
        <v>0</v>
      </c>
      <c r="AZ37" s="83">
        <f t="shared" si="36"/>
        <v>0</v>
      </c>
      <c r="BA37" s="82">
        <f>IF(OR(B37=Feiertage!$A$16,B37=Feiertage!$A$19),U37*Zuschläge_24_31/100,IF(AZ37&gt;0,AZ37*Feiertag_mit/100,IF(AX37&gt;0,AX37*Zuschläge_Sa/100,IF(AY37&gt;0,AY37*Zuschlag_So/100,0))))</f>
        <v>0</v>
      </c>
      <c r="BB37" s="82">
        <f>IF(AND(B37&lt;&gt;0,G37=Voreinstellung_Übersicht!$D$41),IF(EG=1,W37*Über_klein/100,IF(EG=2,W37*Über_groß/100,"Fehler")),0)</f>
        <v>0</v>
      </c>
      <c r="BC37" s="299">
        <f t="shared" ca="1" si="41"/>
        <v>0</v>
      </c>
      <c r="BD37" s="219">
        <f t="shared" ca="1" si="37"/>
        <v>1</v>
      </c>
      <c r="BE37" s="303">
        <f ca="1">IF(B37="","",INDIRECT(ADDRESS(MATCH(B37,Soll_AZ,1)+MATCH("Arbeitszeit 1 ab",Voreinstellung_Übersicht!B:B,0)-1,4,,,"Voreinstellung_Übersicht"),TRUE))</f>
        <v>1.6666666666666665</v>
      </c>
      <c r="BF37" s="1">
        <f t="shared" si="42"/>
        <v>0</v>
      </c>
    </row>
    <row r="38" spans="1:104" s="172" customFormat="1" ht="15" x14ac:dyDescent="0.3">
      <c r="A38" s="229">
        <f t="shared" si="0"/>
        <v>14</v>
      </c>
      <c r="B38" s="217">
        <f t="shared" si="38"/>
        <v>42093</v>
      </c>
      <c r="C38" s="230">
        <f t="shared" si="1"/>
        <v>0</v>
      </c>
      <c r="D38" s="231" t="str">
        <f t="shared" si="2"/>
        <v/>
      </c>
      <c r="E38" s="304" t="str">
        <f t="shared" si="3"/>
        <v/>
      </c>
      <c r="F38" s="216">
        <f t="shared" si="4"/>
        <v>42093</v>
      </c>
      <c r="G38" s="147"/>
      <c r="H38" s="77"/>
      <c r="I38" s="75"/>
      <c r="J38" s="221">
        <f t="shared" si="5"/>
        <v>0</v>
      </c>
      <c r="K38" s="76"/>
      <c r="L38" s="221">
        <f t="shared" si="43"/>
        <v>0</v>
      </c>
      <c r="M38" s="77"/>
      <c r="N38" s="215"/>
      <c r="O38" s="232">
        <f t="shared" si="6"/>
        <v>0</v>
      </c>
      <c r="P38" s="78"/>
      <c r="Q38" s="221">
        <f t="shared" si="44"/>
        <v>0</v>
      </c>
      <c r="R38" s="221">
        <f t="shared" si="45"/>
        <v>0</v>
      </c>
      <c r="S38" s="221">
        <f t="shared" si="7"/>
        <v>0</v>
      </c>
      <c r="T38" s="79">
        <f t="shared" si="8"/>
        <v>0</v>
      </c>
      <c r="U38" s="79">
        <f t="shared" si="39"/>
        <v>0</v>
      </c>
      <c r="V38" s="80">
        <f t="shared" ca="1" si="9"/>
        <v>0</v>
      </c>
      <c r="W38" s="249" t="str">
        <f t="shared" ca="1" si="10"/>
        <v/>
      </c>
      <c r="X38" s="294"/>
      <c r="Y38" s="221">
        <f t="shared" si="11"/>
        <v>0</v>
      </c>
      <c r="Z38" s="299">
        <f ca="1">IF(B38="","",INDIRECT(ADDRESS(MATCH(B38,Soll_AZ,1)+MATCH("Arbeitszeit 1 ab",Voreinstellung_Übersicht!B:B,0)-1,WEEKDAY(B38,2)+4,,,"Voreinstellung_Übersicht"),TRUE))</f>
        <v>0</v>
      </c>
      <c r="AA38" s="300">
        <f t="shared" ca="1" si="40"/>
        <v>0</v>
      </c>
      <c r="AB38" s="219">
        <f t="shared" si="12"/>
        <v>0</v>
      </c>
      <c r="AC38" s="219">
        <f t="shared" si="13"/>
        <v>0</v>
      </c>
      <c r="AD38" s="219">
        <f t="shared" si="14"/>
        <v>0</v>
      </c>
      <c r="AE38" s="219">
        <f t="shared" si="15"/>
        <v>0</v>
      </c>
      <c r="AF38" s="219">
        <f t="shared" si="16"/>
        <v>0</v>
      </c>
      <c r="AG38" s="219">
        <f t="shared" si="17"/>
        <v>0</v>
      </c>
      <c r="AH38" s="219">
        <f t="shared" si="18"/>
        <v>0</v>
      </c>
      <c r="AI38" s="219">
        <f t="shared" si="19"/>
        <v>0</v>
      </c>
      <c r="AJ38" s="219">
        <f t="shared" si="20"/>
        <v>0</v>
      </c>
      <c r="AK38" s="219">
        <f t="shared" si="21"/>
        <v>0</v>
      </c>
      <c r="AL38" s="219">
        <f t="shared" si="22"/>
        <v>0</v>
      </c>
      <c r="AM38" s="219">
        <f t="shared" si="23"/>
        <v>0</v>
      </c>
      <c r="AN38" s="301">
        <f t="shared" si="24"/>
        <v>0</v>
      </c>
      <c r="AO38" s="301">
        <f t="shared" si="25"/>
        <v>0</v>
      </c>
      <c r="AP38" s="301">
        <f t="shared" si="26"/>
        <v>0</v>
      </c>
      <c r="AQ38" s="301">
        <f t="shared" si="27"/>
        <v>0</v>
      </c>
      <c r="AR38" s="301">
        <f t="shared" si="28"/>
        <v>0</v>
      </c>
      <c r="AS38" s="301">
        <f t="shared" si="29"/>
        <v>0</v>
      </c>
      <c r="AT38" s="302">
        <f t="shared" si="30"/>
        <v>0</v>
      </c>
      <c r="AU38" s="302">
        <f t="shared" si="31"/>
        <v>0</v>
      </c>
      <c r="AV38" s="81">
        <f t="shared" si="32"/>
        <v>0</v>
      </c>
      <c r="AW38" s="82">
        <f t="shared" si="33"/>
        <v>0</v>
      </c>
      <c r="AX38" s="81">
        <f t="shared" si="34"/>
        <v>0</v>
      </c>
      <c r="AY38" s="212">
        <f t="shared" si="35"/>
        <v>0</v>
      </c>
      <c r="AZ38" s="212">
        <f t="shared" si="36"/>
        <v>0</v>
      </c>
      <c r="BA38" s="213">
        <f>IF(OR(B38=Feiertage!$A$16,B38=Feiertage!$A$19),U38*Zuschläge_24_31/100,IF(AZ38&gt;0,AZ38*Feiertag_mit/100,IF(AX38&gt;0,AX38*Zuschläge_Sa/100,IF(AY38&gt;0,AY38*Zuschlag_So/100,0))))</f>
        <v>0</v>
      </c>
      <c r="BB38" s="213">
        <f>IF(AND(B38&lt;&gt;0,G38=Voreinstellung_Übersicht!$D$41),IF(EG=1,W38*Über_klein/100,IF(EG=2,W38*Über_groß/100,"Fehler")),0)</f>
        <v>0</v>
      </c>
      <c r="BC38" s="305">
        <f t="shared" ca="1" si="41"/>
        <v>0</v>
      </c>
      <c r="BD38" s="219">
        <f t="shared" ca="1" si="37"/>
        <v>1</v>
      </c>
      <c r="BE38" s="306">
        <f ca="1">IF(B38="","",INDIRECT(ADDRESS(MATCH(B38,Soll_AZ,1)+MATCH("Arbeitszeit 1 ab",Voreinstellung_Übersicht!B:B,0)-1,4,,,"Voreinstellung_Übersicht"),TRUE))</f>
        <v>1.6666666666666665</v>
      </c>
      <c r="BF38" s="1">
        <f t="shared" si="42"/>
        <v>0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5" x14ac:dyDescent="0.25">
      <c r="A39" s="233"/>
      <c r="B39" s="233"/>
      <c r="C39" s="233"/>
      <c r="D39" s="233"/>
      <c r="E39" s="233"/>
      <c r="F39" s="488" t="s">
        <v>49</v>
      </c>
      <c r="G39" s="489"/>
      <c r="H39" s="482" t="s">
        <v>171</v>
      </c>
      <c r="I39" s="483"/>
      <c r="J39" s="307"/>
      <c r="K39" s="308">
        <f>AB39</f>
        <v>0</v>
      </c>
      <c r="L39" s="221"/>
      <c r="M39" s="206"/>
      <c r="N39" s="206"/>
      <c r="O39" s="221"/>
      <c r="P39" s="206"/>
      <c r="Q39" s="221"/>
      <c r="R39" s="221"/>
      <c r="S39" s="221"/>
      <c r="T39" s="479" t="s">
        <v>172</v>
      </c>
      <c r="U39" s="482" t="s">
        <v>171</v>
      </c>
      <c r="V39" s="483"/>
      <c r="W39" s="234">
        <f ca="1">Feb!W41</f>
        <v>0</v>
      </c>
      <c r="X39" s="309"/>
      <c r="Y39" s="221" t="s">
        <v>173</v>
      </c>
      <c r="Z39" s="299" t="s">
        <v>174</v>
      </c>
      <c r="AA39" s="300"/>
      <c r="AB39" s="219">
        <f>Feb!AB41</f>
        <v>0</v>
      </c>
      <c r="AC39" s="219">
        <f>Feb!AC41</f>
        <v>0</v>
      </c>
      <c r="AD39" s="219">
        <f>Feb!AD41</f>
        <v>0</v>
      </c>
      <c r="AE39" s="219">
        <f>Feb!AE41</f>
        <v>0</v>
      </c>
      <c r="AF39" s="219">
        <f>Feb!AF41</f>
        <v>0</v>
      </c>
      <c r="AG39" s="219">
        <f>Feb!AG41</f>
        <v>0</v>
      </c>
      <c r="AH39" s="219">
        <f>Feb!AH41</f>
        <v>0</v>
      </c>
      <c r="AI39" s="219">
        <f>Feb!AI41</f>
        <v>0</v>
      </c>
      <c r="AJ39" s="219">
        <f>Feb!AJ41</f>
        <v>0</v>
      </c>
      <c r="AK39" s="219">
        <f>Feb!AK41</f>
        <v>0</v>
      </c>
      <c r="AL39" s="219">
        <f>Feb!AL41</f>
        <v>0</v>
      </c>
      <c r="AM39" s="219">
        <f>Feb!AM41</f>
        <v>0</v>
      </c>
      <c r="AN39" s="301"/>
      <c r="AO39" s="301"/>
      <c r="AP39" s="301"/>
      <c r="AQ39" s="301"/>
      <c r="AR39" s="301"/>
      <c r="AS39" s="301"/>
      <c r="AT39" s="302"/>
      <c r="AU39" s="302"/>
      <c r="AV39" s="484" t="s">
        <v>176</v>
      </c>
      <c r="AW39" s="234">
        <f>Voreinstellung_Übersicht!H12</f>
        <v>0</v>
      </c>
      <c r="AX39" s="310">
        <f>IF(AZ_Konto,SUM(AW8:AW38),0)</f>
        <v>0</v>
      </c>
      <c r="AY39" s="311"/>
      <c r="AZ39" s="312"/>
      <c r="BA39" s="311">
        <f>IF(AZ_Konto,SUM(BA8:BA38),0)</f>
        <v>0</v>
      </c>
      <c r="BB39" s="311">
        <f>IF(AZ_Konto,SUM(BB8:BB38),0)</f>
        <v>0</v>
      </c>
      <c r="BC39" s="299">
        <f ca="1">BC38</f>
        <v>0</v>
      </c>
      <c r="BD39" s="219"/>
      <c r="BE39" s="303"/>
      <c r="BF39"/>
    </row>
    <row r="40" spans="1:104" ht="15" x14ac:dyDescent="0.25">
      <c r="A40" s="233"/>
      <c r="B40" s="233"/>
      <c r="C40" s="233"/>
      <c r="D40" s="233"/>
      <c r="E40" s="233"/>
      <c r="F40" s="488"/>
      <c r="G40" s="490"/>
      <c r="H40" s="482" t="s">
        <v>177</v>
      </c>
      <c r="I40" s="483"/>
      <c r="J40" s="235"/>
      <c r="K40" s="236">
        <f>-AB40</f>
        <v>0</v>
      </c>
      <c r="L40" s="221"/>
      <c r="M40" s="206"/>
      <c r="N40" s="206"/>
      <c r="O40" s="221"/>
      <c r="P40" s="206"/>
      <c r="Q40" s="221"/>
      <c r="R40" s="221"/>
      <c r="S40" s="221"/>
      <c r="T40" s="480"/>
      <c r="U40" s="482" t="s">
        <v>177</v>
      </c>
      <c r="V40" s="483"/>
      <c r="W40" s="237">
        <f ca="1">SUM(W8:W38)</f>
        <v>0</v>
      </c>
      <c r="X40" s="309"/>
      <c r="Y40" s="221">
        <f>SUM(Y8:Y38)</f>
        <v>0</v>
      </c>
      <c r="Z40" s="299">
        <f ca="1">SUM(Z8:Z38)</f>
        <v>6.9999999999999973</v>
      </c>
      <c r="AA40" s="300"/>
      <c r="AB40" s="219">
        <f t="shared" ref="AB40:AM40" si="46">SUM(AB8:AB38)</f>
        <v>0</v>
      </c>
      <c r="AC40" s="219">
        <f t="shared" si="46"/>
        <v>0</v>
      </c>
      <c r="AD40" s="219">
        <f t="shared" si="46"/>
        <v>0</v>
      </c>
      <c r="AE40" s="219">
        <f t="shared" si="46"/>
        <v>0</v>
      </c>
      <c r="AF40" s="219">
        <f t="shared" si="46"/>
        <v>0</v>
      </c>
      <c r="AG40" s="219">
        <f t="shared" si="46"/>
        <v>0</v>
      </c>
      <c r="AH40" s="219">
        <f t="shared" si="46"/>
        <v>0</v>
      </c>
      <c r="AI40" s="219">
        <f t="shared" si="46"/>
        <v>0</v>
      </c>
      <c r="AJ40" s="219">
        <f t="shared" si="46"/>
        <v>0</v>
      </c>
      <c r="AK40" s="219">
        <f t="shared" si="46"/>
        <v>0</v>
      </c>
      <c r="AL40" s="219">
        <f t="shared" si="46"/>
        <v>0</v>
      </c>
      <c r="AM40" s="219">
        <f t="shared" si="46"/>
        <v>0</v>
      </c>
      <c r="AN40" s="301"/>
      <c r="AO40" s="301"/>
      <c r="AP40" s="301"/>
      <c r="AQ40" s="301"/>
      <c r="AR40" s="301"/>
      <c r="AS40" s="301"/>
      <c r="AT40" s="302"/>
      <c r="AU40" s="302"/>
      <c r="AV40" s="485"/>
      <c r="AW40" s="237" t="str">
        <f>IF(SUM(AX39,BA39,BB39)&gt;0,SUM(AX39,BA39,BB39),"")</f>
        <v/>
      </c>
      <c r="AX40" s="313"/>
      <c r="AY40" s="313"/>
      <c r="AZ40" s="313"/>
      <c r="BA40" s="313"/>
      <c r="BB40" s="313"/>
      <c r="BC40" s="299"/>
      <c r="BD40" s="219"/>
      <c r="BE40" s="303"/>
      <c r="BF40"/>
    </row>
    <row r="41" spans="1:104" ht="15" x14ac:dyDescent="0.25">
      <c r="A41" s="233"/>
      <c r="B41" s="233"/>
      <c r="C41" s="233"/>
      <c r="D41" s="233"/>
      <c r="E41" s="233"/>
      <c r="F41" s="491"/>
      <c r="G41" s="492"/>
      <c r="H41" s="482" t="s">
        <v>178</v>
      </c>
      <c r="I41" s="483"/>
      <c r="J41" s="238"/>
      <c r="K41" s="239">
        <f>AB41</f>
        <v>0</v>
      </c>
      <c r="L41" s="221"/>
      <c r="M41" s="206"/>
      <c r="N41" s="206"/>
      <c r="O41" s="221"/>
      <c r="P41" s="206"/>
      <c r="Q41" s="221"/>
      <c r="R41" s="221"/>
      <c r="S41" s="221"/>
      <c r="T41" s="481"/>
      <c r="U41" s="482" t="s">
        <v>178</v>
      </c>
      <c r="V41" s="483"/>
      <c r="W41" s="240">
        <f ca="1">SUM(W39:W40)</f>
        <v>0</v>
      </c>
      <c r="X41" s="309"/>
      <c r="Y41" s="221"/>
      <c r="Z41" s="299"/>
      <c r="AA41" s="300"/>
      <c r="AB41" s="219">
        <f>AB39-AB40</f>
        <v>0</v>
      </c>
      <c r="AC41" s="219">
        <f t="shared" ref="AC41:AM41" si="47">SUM(AC39:AC40)</f>
        <v>0</v>
      </c>
      <c r="AD41" s="219">
        <f t="shared" si="47"/>
        <v>0</v>
      </c>
      <c r="AE41" s="219">
        <f t="shared" si="47"/>
        <v>0</v>
      </c>
      <c r="AF41" s="219">
        <f t="shared" si="47"/>
        <v>0</v>
      </c>
      <c r="AG41" s="219">
        <f t="shared" si="47"/>
        <v>0</v>
      </c>
      <c r="AH41" s="219">
        <f t="shared" si="47"/>
        <v>0</v>
      </c>
      <c r="AI41" s="219">
        <f t="shared" si="47"/>
        <v>0</v>
      </c>
      <c r="AJ41" s="219">
        <f t="shared" si="47"/>
        <v>0</v>
      </c>
      <c r="AK41" s="219">
        <f t="shared" si="47"/>
        <v>0</v>
      </c>
      <c r="AL41" s="219">
        <f t="shared" si="47"/>
        <v>0</v>
      </c>
      <c r="AM41" s="219">
        <f t="shared" si="47"/>
        <v>0</v>
      </c>
      <c r="AN41" s="301"/>
      <c r="AO41" s="301"/>
      <c r="AP41" s="301"/>
      <c r="AQ41" s="301"/>
      <c r="AR41" s="301"/>
      <c r="AS41" s="301"/>
      <c r="AT41" s="302"/>
      <c r="AU41" s="302"/>
      <c r="AV41" s="486"/>
      <c r="AW41" s="240">
        <f>SUM(AW39:AW40)</f>
        <v>0</v>
      </c>
      <c r="AX41" s="314"/>
      <c r="AY41" s="314"/>
      <c r="AZ41" s="314"/>
      <c r="BA41" s="314"/>
      <c r="BB41" s="314"/>
      <c r="BC41" s="299"/>
      <c r="BD41" s="219"/>
      <c r="BE41" s="303"/>
      <c r="BF41"/>
    </row>
    <row r="42" spans="1:104" s="1" customFormat="1" ht="15" x14ac:dyDescent="0.3">
      <c r="A42" s="88"/>
      <c r="B42" s="47"/>
      <c r="C42" s="6"/>
      <c r="D42" s="89"/>
      <c r="E42" s="90"/>
      <c r="F42" s="487" t="s">
        <v>179</v>
      </c>
      <c r="G42" s="487"/>
      <c r="H42" s="487"/>
      <c r="I42" s="487"/>
      <c r="J42" s="347"/>
      <c r="K42" s="186">
        <f>NETWORKDAYS(B8,B38,Feiertage)</f>
        <v>21</v>
      </c>
      <c r="L42" s="331"/>
      <c r="M42" s="330"/>
      <c r="N42" s="330"/>
      <c r="O42" s="331"/>
      <c r="P42" s="330"/>
      <c r="Q42" s="331"/>
      <c r="R42" s="331"/>
      <c r="S42" s="331"/>
      <c r="T42" s="332"/>
      <c r="U42" s="332"/>
      <c r="V42" s="332"/>
      <c r="W42" s="332"/>
      <c r="X42" s="333"/>
      <c r="Y42" s="331"/>
      <c r="Z42" s="334"/>
      <c r="AA42" s="335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7"/>
      <c r="AO42" s="337"/>
      <c r="AP42" s="337"/>
      <c r="AQ42" s="337"/>
      <c r="AR42" s="337"/>
      <c r="AS42" s="337"/>
      <c r="AT42" s="338"/>
      <c r="AU42" s="338"/>
      <c r="AV42" s="339"/>
      <c r="AW42" s="340"/>
      <c r="AX42" s="83"/>
      <c r="AY42" s="83"/>
      <c r="AZ42" s="83"/>
      <c r="BA42" s="173"/>
      <c r="BB42" s="173"/>
      <c r="BC42" s="15"/>
      <c r="BD42" s="6"/>
      <c r="BE42" s="169"/>
    </row>
    <row r="43" spans="1:104" s="1" customFormat="1" x14ac:dyDescent="0.3">
      <c r="A43" s="11"/>
      <c r="B43" s="47"/>
      <c r="C43" s="6"/>
      <c r="D43" s="6"/>
      <c r="E43" s="12"/>
      <c r="F43" s="487" t="s">
        <v>180</v>
      </c>
      <c r="G43" s="487"/>
      <c r="H43" s="487"/>
      <c r="I43" s="487"/>
      <c r="J43" s="348"/>
      <c r="K43" s="186">
        <f>SUM(BF8:BF38)</f>
        <v>0</v>
      </c>
      <c r="L43" s="336"/>
      <c r="M43" s="341"/>
      <c r="N43" s="341"/>
      <c r="O43" s="336"/>
      <c r="P43" s="341"/>
      <c r="Q43" s="336"/>
      <c r="R43" s="336"/>
      <c r="S43" s="336"/>
      <c r="T43" s="341"/>
      <c r="U43" s="341"/>
      <c r="V43" s="341"/>
      <c r="W43" s="341"/>
      <c r="X43"/>
      <c r="Y43" s="331"/>
      <c r="Z43" s="343"/>
      <c r="AA43" s="344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45"/>
      <c r="AO43" s="336"/>
      <c r="AP43" s="336"/>
      <c r="AQ43" s="336"/>
      <c r="AR43" s="336"/>
      <c r="AS43" s="336"/>
      <c r="AT43" s="346"/>
      <c r="AU43" s="346"/>
      <c r="AV43" s="341"/>
      <c r="AW43" s="341"/>
      <c r="AX43" s="26"/>
      <c r="AY43" s="26"/>
      <c r="AZ43" s="26"/>
      <c r="BA43" s="26"/>
      <c r="BB43"/>
      <c r="BC43" s="6"/>
      <c r="BD43" s="6"/>
      <c r="BE43" s="6"/>
    </row>
    <row r="44" spans="1:104" s="1" customFormat="1" x14ac:dyDescent="0.3">
      <c r="A44" s="11"/>
      <c r="B44" s="47"/>
      <c r="C44" s="6"/>
      <c r="D44" s="6"/>
      <c r="E44" s="12"/>
      <c r="F44" s="66"/>
      <c r="G44" s="66"/>
      <c r="H44" s="26"/>
      <c r="I44" s="26"/>
      <c r="J44" s="6"/>
      <c r="K44" s="26"/>
      <c r="L44" s="6"/>
      <c r="M44" s="26"/>
      <c r="N44" s="26"/>
      <c r="O44" s="6"/>
      <c r="P44" s="26"/>
      <c r="Q44" s="6"/>
      <c r="R44" s="6"/>
      <c r="S44" s="6"/>
      <c r="T44" s="26"/>
      <c r="U44" s="26"/>
      <c r="V44" s="26"/>
      <c r="W44" s="26"/>
      <c r="X44"/>
      <c r="Y44" s="8"/>
      <c r="Z44" s="174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13"/>
      <c r="AN44" s="6"/>
      <c r="AO44" s="6"/>
      <c r="AP44" s="6"/>
      <c r="AQ44" s="6"/>
      <c r="AR44" s="6"/>
      <c r="AS44" s="14"/>
      <c r="AT44" s="14"/>
      <c r="AU44" s="26"/>
      <c r="AV44" s="26"/>
      <c r="AW44" s="26"/>
      <c r="AX44" s="26"/>
      <c r="AY44" s="26"/>
      <c r="AZ44" s="26"/>
      <c r="BB44"/>
      <c r="BC44" s="6"/>
      <c r="BD44" s="6"/>
    </row>
    <row r="45" spans="1:104" s="1" customFormat="1" ht="15" x14ac:dyDescent="0.3">
      <c r="A45" s="11"/>
      <c r="B45" s="47"/>
      <c r="C45" s="6"/>
      <c r="D45" s="6"/>
      <c r="E45" s="12"/>
      <c r="F45" s="329"/>
      <c r="G45" s="329"/>
      <c r="H45" s="341"/>
      <c r="I45" s="341"/>
      <c r="J45" s="336"/>
      <c r="K45" s="341"/>
      <c r="L45" s="336"/>
      <c r="M45" s="341"/>
      <c r="N45" s="341"/>
      <c r="O45" s="336"/>
      <c r="P45" s="341"/>
      <c r="Q45" s="336"/>
      <c r="R45" s="336"/>
      <c r="S45" s="336"/>
      <c r="T45" s="341"/>
      <c r="U45" s="341"/>
      <c r="V45" s="341"/>
      <c r="W45" s="341"/>
      <c r="X45" s="342"/>
      <c r="Y45" s="331"/>
      <c r="Z45" s="343"/>
      <c r="AA45" s="344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45"/>
      <c r="AO45" s="336"/>
      <c r="AP45" s="336"/>
      <c r="AQ45" s="336"/>
      <c r="AR45" s="336"/>
      <c r="AS45" s="336"/>
      <c r="AT45" s="346"/>
      <c r="AU45" s="346"/>
      <c r="AV45" s="341"/>
      <c r="AW45" s="341"/>
      <c r="AX45" s="26"/>
      <c r="AY45" s="26"/>
      <c r="AZ45" s="26"/>
      <c r="BA45" s="26"/>
      <c r="BC45" s="6"/>
      <c r="BD45" s="6"/>
      <c r="BE45" s="6"/>
    </row>
    <row r="46" spans="1:104" s="1" customFormat="1" ht="15" x14ac:dyDescent="0.3">
      <c r="A46" s="11"/>
      <c r="B46" s="47"/>
      <c r="C46" s="6"/>
      <c r="D46" s="6"/>
      <c r="E46" s="12"/>
      <c r="F46" s="329"/>
      <c r="G46" s="329"/>
      <c r="H46" s="341"/>
      <c r="I46" s="341"/>
      <c r="J46" s="336"/>
      <c r="K46" s="341"/>
      <c r="L46" s="336"/>
      <c r="M46" s="341"/>
      <c r="N46" s="341"/>
      <c r="O46" s="336"/>
      <c r="P46" s="341"/>
      <c r="Q46" s="336"/>
      <c r="R46" s="336"/>
      <c r="S46" s="336"/>
      <c r="T46" s="341"/>
      <c r="U46" s="341"/>
      <c r="V46" s="341"/>
      <c r="W46" s="341"/>
      <c r="X46" s="342"/>
      <c r="Y46" s="331"/>
      <c r="Z46" s="343"/>
      <c r="AA46" s="344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45"/>
      <c r="AO46" s="336"/>
      <c r="AP46" s="336"/>
      <c r="AQ46" s="336"/>
      <c r="AR46" s="336"/>
      <c r="AS46" s="336"/>
      <c r="AT46" s="346"/>
      <c r="AU46" s="346"/>
      <c r="AV46" s="341"/>
      <c r="AW46" s="341"/>
      <c r="AX46" s="26"/>
      <c r="AY46" s="26"/>
      <c r="AZ46" s="26"/>
      <c r="BA46" s="26"/>
      <c r="BC46" s="6"/>
      <c r="BD46" s="6"/>
      <c r="BE46" s="6"/>
    </row>
    <row r="47" spans="1:104" s="1" customFormat="1" ht="15" x14ac:dyDescent="0.3">
      <c r="A47" s="11"/>
      <c r="B47" s="47"/>
      <c r="C47" s="6"/>
      <c r="D47" s="6"/>
      <c r="E47" s="12"/>
      <c r="F47" s="329"/>
      <c r="G47" s="329"/>
      <c r="H47" s="341"/>
      <c r="I47" s="341"/>
      <c r="J47" s="336"/>
      <c r="K47" s="341"/>
      <c r="L47" s="336"/>
      <c r="M47" s="341"/>
      <c r="N47" s="341"/>
      <c r="O47" s="336"/>
      <c r="P47" s="341"/>
      <c r="Q47" s="336"/>
      <c r="R47" s="336"/>
      <c r="S47" s="336"/>
      <c r="T47" s="341"/>
      <c r="U47" s="341"/>
      <c r="V47" s="341"/>
      <c r="W47" s="341"/>
      <c r="X47" s="342"/>
      <c r="Y47" s="331"/>
      <c r="Z47" s="343"/>
      <c r="AA47" s="344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45"/>
      <c r="AO47" s="336"/>
      <c r="AP47" s="336"/>
      <c r="AQ47" s="336"/>
      <c r="AR47" s="336"/>
      <c r="AS47" s="336"/>
      <c r="AT47" s="346"/>
      <c r="AU47" s="346"/>
      <c r="AV47" s="341"/>
      <c r="AW47" s="341"/>
      <c r="AX47" s="26"/>
      <c r="AY47" s="26"/>
      <c r="AZ47" s="26"/>
      <c r="BA47" s="26"/>
      <c r="BC47" s="6"/>
      <c r="BD47" s="6"/>
      <c r="BE47" s="6"/>
    </row>
    <row r="48" spans="1:104" s="1" customFormat="1" x14ac:dyDescent="0.3">
      <c r="A48" s="11"/>
      <c r="B48" s="47"/>
      <c r="C48" s="6"/>
      <c r="D48" s="6"/>
      <c r="E48" s="12"/>
      <c r="F48" s="66"/>
      <c r="G48" s="66"/>
      <c r="H48" s="26"/>
      <c r="I48" s="26"/>
      <c r="J48" s="6"/>
      <c r="K48" s="26"/>
      <c r="L48" s="6"/>
      <c r="M48" s="26"/>
      <c r="N48" s="26"/>
      <c r="O48" s="6"/>
      <c r="P48" s="26"/>
      <c r="Q48" s="6"/>
      <c r="R48" s="6"/>
      <c r="S48" s="6"/>
      <c r="T48" s="26"/>
      <c r="U48" s="26"/>
      <c r="V48" s="26"/>
      <c r="W48" s="26"/>
      <c r="X48"/>
      <c r="Y48" s="8"/>
      <c r="Z48" s="174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13"/>
      <c r="AN48" s="6"/>
      <c r="AO48" s="6"/>
      <c r="AP48" s="6"/>
      <c r="AQ48" s="6"/>
      <c r="AR48" s="6"/>
      <c r="AS48" s="14"/>
      <c r="AT48" s="14"/>
      <c r="AU48" s="26"/>
      <c r="AV48" s="26"/>
      <c r="AW48" s="26"/>
      <c r="AX48" s="26"/>
      <c r="AY48" s="26"/>
      <c r="AZ48" s="26"/>
      <c r="BB48"/>
      <c r="BC48" s="6"/>
      <c r="BD48" s="6"/>
    </row>
    <row r="49" spans="1:56" s="1" customFormat="1" x14ac:dyDescent="0.3">
      <c r="A49" s="11"/>
      <c r="B49" s="47"/>
      <c r="C49" s="6"/>
      <c r="D49" s="6"/>
      <c r="E49" s="12"/>
      <c r="F49" s="66"/>
      <c r="G49" s="66"/>
      <c r="H49" s="26"/>
      <c r="I49" s="26"/>
      <c r="J49" s="6"/>
      <c r="K49" s="26"/>
      <c r="L49" s="6"/>
      <c r="M49" s="26"/>
      <c r="N49" s="26"/>
      <c r="O49" s="6"/>
      <c r="P49" s="26"/>
      <c r="Q49" s="6"/>
      <c r="R49" s="6"/>
      <c r="S49" s="6"/>
      <c r="T49" s="26"/>
      <c r="U49" s="26"/>
      <c r="V49" s="26"/>
      <c r="W49" s="26"/>
      <c r="X49"/>
      <c r="Y49" s="8"/>
      <c r="Z49" s="174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13"/>
      <c r="AN49" s="6"/>
      <c r="AO49" s="6"/>
      <c r="AP49" s="6"/>
      <c r="AQ49" s="6"/>
      <c r="AR49" s="6"/>
      <c r="AS49" s="14"/>
      <c r="AT49" s="14"/>
      <c r="AU49" s="26"/>
      <c r="AV49" s="26"/>
      <c r="AW49" s="26"/>
      <c r="AX49" s="26"/>
      <c r="AY49" s="26"/>
      <c r="AZ49" s="26"/>
      <c r="BB49"/>
      <c r="BC49" s="6"/>
      <c r="BD49" s="6"/>
    </row>
    <row r="50" spans="1:56" s="1" customFormat="1" x14ac:dyDescent="0.3">
      <c r="A50" s="11"/>
      <c r="B50" s="47"/>
      <c r="C50" s="6"/>
      <c r="D50" s="6"/>
      <c r="E50" s="12"/>
      <c r="F50" s="66"/>
      <c r="G50" s="66"/>
      <c r="H50" s="26"/>
      <c r="I50" s="26"/>
      <c r="J50" s="6"/>
      <c r="K50" s="26"/>
      <c r="L50" s="6"/>
      <c r="M50" s="26"/>
      <c r="N50" s="26"/>
      <c r="O50" s="6"/>
      <c r="P50" s="26"/>
      <c r="Q50" s="6"/>
      <c r="R50" s="6"/>
      <c r="S50" s="6"/>
      <c r="T50" s="26"/>
      <c r="U50" s="26"/>
      <c r="V50" s="26"/>
      <c r="W50" s="26"/>
      <c r="X50"/>
      <c r="Y50" s="8"/>
      <c r="Z50" s="174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13"/>
      <c r="AN50" s="6"/>
      <c r="AO50" s="6"/>
      <c r="AP50" s="6"/>
      <c r="AQ50" s="6"/>
      <c r="AR50" s="6"/>
      <c r="AS50" s="14"/>
      <c r="AT50" s="14"/>
      <c r="AU50" s="26"/>
      <c r="AV50" s="26"/>
      <c r="AW50" s="26"/>
      <c r="AX50" s="26"/>
      <c r="AY50" s="26"/>
      <c r="AZ50" s="26"/>
      <c r="BB50"/>
      <c r="BC50" s="6"/>
      <c r="BD50" s="6"/>
    </row>
    <row r="51" spans="1:56" s="1" customFormat="1" x14ac:dyDescent="0.3">
      <c r="A51" s="11"/>
      <c r="B51" s="47"/>
      <c r="C51" s="6"/>
      <c r="D51" s="6"/>
      <c r="E51" s="12"/>
      <c r="F51" s="66"/>
      <c r="G51" s="66"/>
      <c r="H51" s="26"/>
      <c r="I51" s="26"/>
      <c r="J51" s="6"/>
      <c r="K51" s="26"/>
      <c r="L51" s="6"/>
      <c r="M51" s="26"/>
      <c r="N51" s="26"/>
      <c r="O51" s="6"/>
      <c r="P51" s="26"/>
      <c r="Q51" s="6"/>
      <c r="R51" s="6"/>
      <c r="S51" s="6"/>
      <c r="T51" s="26"/>
      <c r="U51" s="26"/>
      <c r="V51" s="26"/>
      <c r="W51" s="26"/>
      <c r="X51"/>
      <c r="Y51" s="8"/>
      <c r="Z51" s="174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3"/>
      <c r="AN51" s="6"/>
      <c r="AO51" s="6"/>
      <c r="AP51" s="6"/>
      <c r="AQ51" s="6"/>
      <c r="AR51" s="6"/>
      <c r="AS51" s="14"/>
      <c r="AT51" s="14"/>
      <c r="AU51" s="26"/>
      <c r="AV51" s="26"/>
      <c r="AW51" s="26"/>
      <c r="AX51" s="26"/>
      <c r="AY51" s="26"/>
      <c r="AZ51" s="26"/>
      <c r="BB51"/>
      <c r="BC51" s="6"/>
      <c r="BD51" s="6"/>
    </row>
    <row r="52" spans="1:56" s="1" customFormat="1" x14ac:dyDescent="0.3">
      <c r="A52" s="11"/>
      <c r="B52" s="47"/>
      <c r="C52" s="6"/>
      <c r="D52" s="6"/>
      <c r="E52" s="12"/>
      <c r="F52" s="66"/>
      <c r="G52" s="66"/>
      <c r="H52" s="26"/>
      <c r="I52" s="26"/>
      <c r="J52" s="6"/>
      <c r="K52" s="26"/>
      <c r="L52" s="6"/>
      <c r="M52" s="26"/>
      <c r="N52" s="26"/>
      <c r="O52" s="6"/>
      <c r="P52" s="26"/>
      <c r="Q52" s="6"/>
      <c r="R52" s="6"/>
      <c r="S52" s="6"/>
      <c r="T52" s="26"/>
      <c r="U52" s="26"/>
      <c r="V52" s="26"/>
      <c r="W52" s="26"/>
      <c r="X52"/>
      <c r="Y52" s="8"/>
      <c r="Z52" s="174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13"/>
      <c r="AN52" s="6"/>
      <c r="AO52" s="6"/>
      <c r="AP52" s="6"/>
      <c r="AQ52" s="6"/>
      <c r="AR52" s="6"/>
      <c r="AS52" s="14"/>
      <c r="AT52" s="14"/>
      <c r="AU52" s="26"/>
      <c r="AV52" s="26"/>
      <c r="AW52" s="26"/>
      <c r="AX52" s="26"/>
      <c r="AY52" s="26"/>
      <c r="AZ52" s="26"/>
      <c r="BB52"/>
      <c r="BC52" s="6"/>
      <c r="BD52" s="6"/>
    </row>
  </sheetData>
  <sheetProtection algorithmName="SHA-512" hashValue="kY+1onz1p7stah3wA+CaTBAxrgCEiJyzBlhF5F0Fq9f5BDJusM4CNXimNJipwFb38wZl4urnUpff1zjULjdK/g==" saltValue="cfEnBlHl9vE+PLdTqSmOPw==" spinCount="100000" sheet="1" objects="1" scenarios="1" formatCells="0" selectLockedCells="1"/>
  <mergeCells count="26">
    <mergeCell ref="F42:I42"/>
    <mergeCell ref="F43:I43"/>
    <mergeCell ref="AX6:BA6"/>
    <mergeCell ref="AN2:AS4"/>
    <mergeCell ref="AT2:AU4"/>
    <mergeCell ref="F39:G41"/>
    <mergeCell ref="T39:T41"/>
    <mergeCell ref="H3:I3"/>
    <mergeCell ref="H6:P6"/>
    <mergeCell ref="H40:I40"/>
    <mergeCell ref="H39:I39"/>
    <mergeCell ref="U39:V39"/>
    <mergeCell ref="U40:V40"/>
    <mergeCell ref="H41:I41"/>
    <mergeCell ref="U41:V41"/>
    <mergeCell ref="AA3:AA6"/>
    <mergeCell ref="AV39:AV41"/>
    <mergeCell ref="AN6:AS6"/>
    <mergeCell ref="AT6:AU6"/>
    <mergeCell ref="E2:G2"/>
    <mergeCell ref="E3:G3"/>
    <mergeCell ref="E4:G4"/>
    <mergeCell ref="H2:I2"/>
    <mergeCell ref="F6:F7"/>
    <mergeCell ref="G6:G7"/>
    <mergeCell ref="AV6:AW6"/>
  </mergeCells>
  <conditionalFormatting sqref="B7:E7 B8:F39 B40:E41 B5:F6">
    <cfRule type="expression" dxfId="205" priority="17">
      <formula>AND($C5=0,NOT($C5=""))</formula>
    </cfRule>
  </conditionalFormatting>
  <conditionalFormatting sqref="B6:F6 B7:E7 BB6:BB41 B39:F39 B40:E41 H39:H41 J39:U39 J40:S41 U40:U41 W40:AU41 AW40:BA41 F41:G41 I41 T41 V41 AV41 H6:BA7 B5:BA5 B8:BA38 W39:BA39">
    <cfRule type="expression" dxfId="204" priority="18">
      <formula>AND($C5=0,NOT($C5=""))</formula>
    </cfRule>
  </conditionalFormatting>
  <conditionalFormatting sqref="G6 BC8:BC37">
    <cfRule type="expression" dxfId="203" priority="22">
      <formula>AND($C7=0,NOT($C7=""))</formula>
    </cfRule>
  </conditionalFormatting>
  <conditionalFormatting sqref="BC38:BC41">
    <cfRule type="expression" dxfId="202" priority="23">
      <formula>AND(#REF!=0,NOT(#REF!=""))</formula>
    </cfRule>
  </conditionalFormatting>
  <conditionalFormatting sqref="W8:X41 BC8:BD41">
    <cfRule type="expression" dxfId="201" priority="14">
      <formula>$BD8=3</formula>
    </cfRule>
    <cfRule type="expression" dxfId="200" priority="15">
      <formula>$BD8=2</formula>
    </cfRule>
  </conditionalFormatting>
  <conditionalFormatting sqref="W8:W41 BC8:BD41">
    <cfRule type="expression" dxfId="199" priority="16">
      <formula>$BD8=1</formula>
    </cfRule>
  </conditionalFormatting>
  <conditionalFormatting sqref="A8:BB38">
    <cfRule type="expression" dxfId="198" priority="13">
      <formula>$R$1=TRUE</formula>
    </cfRule>
  </conditionalFormatting>
  <conditionalFormatting sqref="B1:F4">
    <cfRule type="expression" dxfId="197" priority="7">
      <formula>AND($C1=0,NOT($C1=""))</formula>
    </cfRule>
  </conditionalFormatting>
  <conditionalFormatting sqref="B1:BA4">
    <cfRule type="expression" dxfId="196" priority="8">
      <formula>AND($C1=0,NOT($C1=""))</formula>
    </cfRule>
  </conditionalFormatting>
  <conditionalFormatting sqref="B42:F42">
    <cfRule type="expression" dxfId="195" priority="4">
      <formula>AND($C42=0,NOT($C42=""))</formula>
    </cfRule>
  </conditionalFormatting>
  <conditionalFormatting sqref="BB42">
    <cfRule type="expression" dxfId="194" priority="5">
      <formula>AND($C42=0,NOT($C42=""))</formula>
    </cfRule>
  </conditionalFormatting>
  <conditionalFormatting sqref="BC42">
    <cfRule type="expression" dxfId="193" priority="6">
      <formula>AND(#REF!=0,NOT(#REF!=""))</formula>
    </cfRule>
  </conditionalFormatting>
  <conditionalFormatting sqref="BC42:BD42">
    <cfRule type="expression" dxfId="192" priority="1">
      <formula>$BD42=3</formula>
    </cfRule>
    <cfRule type="expression" dxfId="191" priority="2">
      <formula>$BD42=2</formula>
    </cfRule>
  </conditionalFormatting>
  <conditionalFormatting sqref="BC42:BD42">
    <cfRule type="expression" dxfId="190" priority="3">
      <formula>$BD42=1</formula>
    </cfRule>
  </conditionalFormatting>
  <dataValidations count="2">
    <dataValidation type="list" allowBlank="1" showInputMessage="1" showErrorMessage="1" sqref="G8:G38">
      <formula1>Code_Liste</formula1>
    </dataValidation>
    <dataValidation type="time" allowBlank="1" showInputMessage="1" showErrorMessage="1" sqref="H8:I15 K8:K12">
      <formula1>$R$6</formula1>
      <formula2>$S$6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A84B1EB8-E3DC-4906-810A-F5DAE9BB9194}">
            <xm:f>Voreinstellung_Übersicht!$R$14=3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21" stopIfTrue="1" id="{EBB731F1-F5EA-4848-9D7A-49EAE826A60F}">
            <xm:f>Voreinstellung_Übersicht!$R$14=2</xm:f>
            <x14:dxf>
              <fill>
                <patternFill>
                  <bgColor rgb="FFFFC000"/>
                </patternFill>
              </fill>
            </x14:dxf>
          </x14:cfRule>
          <xm:sqref>W7:X41</xm:sqref>
        </x14:conditionalFormatting>
        <x14:conditionalFormatting xmlns:xm="http://schemas.microsoft.com/office/excel/2006/main">
          <x14:cfRule type="expression" priority="19" stopIfTrue="1" id="{2D47853C-A13F-4911-8B37-E16D6AC22300}">
            <xm:f>Voreinstellung_Übersicht!$R$14=1</xm:f>
            <x14:dxf>
              <fill>
                <patternFill>
                  <bgColor theme="9" tint="0.59996337778862885"/>
                </patternFill>
              </fill>
            </x14:dxf>
          </x14:cfRule>
          <xm:sqref>W7:W41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7"/>
  <sheetViews>
    <sheetView zoomScale="80" zoomScaleNormal="80" workbookViewId="0">
      <selection activeCell="G8" sqref="G8"/>
    </sheetView>
  </sheetViews>
  <sheetFormatPr baseColWidth="10" defaultColWidth="11.42578125" defaultRowHeight="15.75" x14ac:dyDescent="0.3"/>
  <cols>
    <col min="1" max="1" width="5.5703125" customWidth="1"/>
    <col min="2" max="2" width="12.7109375" bestFit="1" customWidth="1"/>
    <col min="3" max="4" width="11.5703125" hidden="1" customWidth="1"/>
    <col min="5" max="5" width="15.7109375" style="243" customWidth="1"/>
    <col min="6" max="6" width="6.28515625" customWidth="1"/>
    <col min="7" max="7" width="6" customWidth="1"/>
    <col min="8" max="9" width="11.5703125" bestFit="1" customWidth="1"/>
    <col min="10" max="10" width="11.5703125" hidden="1" customWidth="1"/>
    <col min="11" max="11" width="11.42578125" customWidth="1"/>
    <col min="12" max="12" width="11.5703125" hidden="1" customWidth="1"/>
    <col min="13" max="14" width="11.5703125" bestFit="1" customWidth="1"/>
    <col min="15" max="15" width="11.5703125" hidden="1" customWidth="1"/>
    <col min="17" max="19" width="11.5703125" hidden="1" customWidth="1"/>
    <col min="20" max="21" width="11.5703125" bestFit="1" customWidth="1"/>
    <col min="24" max="24" width="25.7109375" customWidth="1"/>
    <col min="25" max="46" width="11.5703125" hidden="1" customWidth="1"/>
    <col min="47" max="47" width="11.42578125" hidden="1" customWidth="1"/>
    <col min="49" max="49" width="13.7109375" customWidth="1"/>
    <col min="53" max="53" width="13" customWidth="1"/>
    <col min="54" max="54" width="18.140625" customWidth="1"/>
    <col min="55" max="57" width="11.5703125" hidden="1" customWidth="1"/>
    <col min="58" max="58" width="11.5703125" style="1" hidden="1" customWidth="1"/>
  </cols>
  <sheetData>
    <row r="1" spans="1:58" s="1" customFormat="1" thickBot="1" x14ac:dyDescent="0.35">
      <c r="A1" s="26"/>
      <c r="B1" s="47"/>
      <c r="C1" s="6"/>
      <c r="D1" s="6"/>
      <c r="E1" s="12"/>
      <c r="F1" s="66"/>
      <c r="G1" s="66"/>
      <c r="H1" s="26"/>
      <c r="I1" s="26"/>
      <c r="J1" s="6"/>
      <c r="K1" s="26"/>
      <c r="L1" s="6"/>
      <c r="M1" s="26"/>
      <c r="N1" s="26"/>
      <c r="O1" s="6"/>
      <c r="P1" s="26"/>
      <c r="Q1" s="6" t="s">
        <v>123</v>
      </c>
      <c r="R1" s="315" t="b">
        <v>0</v>
      </c>
      <c r="S1" s="6"/>
      <c r="T1" s="26"/>
      <c r="U1" s="26"/>
      <c r="V1" s="26"/>
      <c r="W1" s="26"/>
      <c r="X1" s="48"/>
      <c r="Y1" s="7"/>
      <c r="Z1" s="8"/>
      <c r="AA1" s="17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3"/>
      <c r="AO1" s="6"/>
      <c r="AP1" s="6"/>
      <c r="AQ1" s="6"/>
      <c r="AR1" s="6"/>
      <c r="AS1" s="6"/>
      <c r="AT1" s="14"/>
      <c r="AU1" s="14"/>
      <c r="AV1" s="26"/>
      <c r="AW1" s="26"/>
      <c r="AX1" s="26"/>
      <c r="AY1" s="26"/>
      <c r="AZ1" s="26"/>
      <c r="BA1" s="26"/>
      <c r="BC1" s="6"/>
      <c r="BD1" s="6"/>
      <c r="BE1" s="6"/>
    </row>
    <row r="2" spans="1:58" s="1" customFormat="1" ht="16.5" customHeight="1" x14ac:dyDescent="0.3">
      <c r="A2" s="26"/>
      <c r="B2" s="71" t="s">
        <v>1</v>
      </c>
      <c r="C2" s="222" t="str">
        <f>Name</f>
        <v>Max Mustermann</v>
      </c>
      <c r="D2" s="222"/>
      <c r="E2" s="466" t="str">
        <f>C2</f>
        <v>Max Mustermann</v>
      </c>
      <c r="F2" s="466"/>
      <c r="G2" s="466"/>
      <c r="H2" s="471" t="s">
        <v>7</v>
      </c>
      <c r="I2" s="471"/>
      <c r="J2" s="222"/>
      <c r="K2" s="69">
        <f>Personalnummer</f>
        <v>123456789</v>
      </c>
      <c r="L2" s="219"/>
      <c r="M2" s="26"/>
      <c r="N2" s="26"/>
      <c r="O2" s="219"/>
      <c r="P2" s="26"/>
      <c r="Q2" s="219"/>
      <c r="R2" s="219"/>
      <c r="S2" s="219"/>
      <c r="T2" s="26"/>
      <c r="U2" s="26"/>
      <c r="V2" s="26"/>
      <c r="W2" s="26"/>
      <c r="X2" s="48"/>
      <c r="Y2" s="221"/>
      <c r="Z2" s="295"/>
      <c r="AA2" s="296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474"/>
      <c r="AO2" s="474"/>
      <c r="AP2" s="474"/>
      <c r="AQ2" s="474"/>
      <c r="AR2" s="474"/>
      <c r="AS2" s="474"/>
      <c r="AT2" s="470" t="s">
        <v>124</v>
      </c>
      <c r="AU2" s="470"/>
      <c r="AV2" s="26"/>
      <c r="AW2" s="26"/>
      <c r="AX2" s="26"/>
      <c r="AY2" s="26"/>
      <c r="AZ2" s="26"/>
      <c r="BA2" s="26"/>
      <c r="BB2" s="29"/>
      <c r="BC2" s="219"/>
      <c r="BD2" s="219"/>
      <c r="BE2" s="219"/>
    </row>
    <row r="3" spans="1:58" s="1" customFormat="1" ht="16.5" customHeight="1" x14ac:dyDescent="0.3">
      <c r="A3" s="26"/>
      <c r="B3" s="72" t="s">
        <v>125</v>
      </c>
      <c r="C3" s="223">
        <f>Jahr</f>
        <v>42004</v>
      </c>
      <c r="D3" s="223"/>
      <c r="E3" s="468">
        <f>Jahr</f>
        <v>42004</v>
      </c>
      <c r="F3" s="468"/>
      <c r="G3" s="468"/>
      <c r="H3" s="472" t="s">
        <v>5</v>
      </c>
      <c r="I3" s="472"/>
      <c r="J3" s="224"/>
      <c r="K3" s="70">
        <f>Geburtstag</f>
        <v>16833</v>
      </c>
      <c r="L3" s="219"/>
      <c r="M3" s="26"/>
      <c r="N3" s="26"/>
      <c r="O3" s="219"/>
      <c r="P3" s="26"/>
      <c r="Q3" s="219"/>
      <c r="R3" s="219"/>
      <c r="S3" s="219"/>
      <c r="T3" s="26"/>
      <c r="U3" s="26"/>
      <c r="V3" s="26"/>
      <c r="W3" s="26"/>
      <c r="X3" s="48"/>
      <c r="Y3" s="221"/>
      <c r="Z3" s="295"/>
      <c r="AA3" s="475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474"/>
      <c r="AO3" s="474"/>
      <c r="AP3" s="474"/>
      <c r="AQ3" s="474"/>
      <c r="AR3" s="474"/>
      <c r="AS3" s="474"/>
      <c r="AT3" s="470"/>
      <c r="AU3" s="470"/>
      <c r="AV3" s="26"/>
      <c r="AW3" s="26"/>
      <c r="AX3" s="26"/>
      <c r="AY3" s="26"/>
      <c r="AZ3" s="26"/>
      <c r="BA3" s="26"/>
      <c r="BB3" s="29"/>
      <c r="BC3" s="219"/>
      <c r="BD3" s="219"/>
      <c r="BE3" s="219"/>
    </row>
    <row r="4" spans="1:58" s="1" customFormat="1" ht="16.5" customHeight="1" thickBot="1" x14ac:dyDescent="0.35">
      <c r="A4" s="26"/>
      <c r="B4" s="322" t="s">
        <v>126</v>
      </c>
      <c r="C4" s="323">
        <f>Jahr</f>
        <v>42004</v>
      </c>
      <c r="D4" s="323"/>
      <c r="E4" s="467">
        <f>B8</f>
        <v>42094</v>
      </c>
      <c r="F4" s="467"/>
      <c r="G4" s="467"/>
      <c r="H4" s="324"/>
      <c r="I4" s="324"/>
      <c r="J4" s="325"/>
      <c r="K4" s="326"/>
      <c r="L4" s="219"/>
      <c r="M4" s="26"/>
      <c r="N4" s="26"/>
      <c r="O4" s="219"/>
      <c r="P4" s="26"/>
      <c r="Q4" s="219"/>
      <c r="R4" s="219"/>
      <c r="S4" s="219"/>
      <c r="T4" s="26"/>
      <c r="U4" s="26"/>
      <c r="V4" s="26"/>
      <c r="W4" s="26"/>
      <c r="X4" s="48"/>
      <c r="Y4" s="221"/>
      <c r="Z4" s="295"/>
      <c r="AA4" s="475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474"/>
      <c r="AO4" s="474"/>
      <c r="AP4" s="474"/>
      <c r="AQ4" s="474"/>
      <c r="AR4" s="474"/>
      <c r="AS4" s="474"/>
      <c r="AT4" s="470"/>
      <c r="AU4" s="470"/>
      <c r="AV4" s="26"/>
      <c r="AW4" s="26"/>
      <c r="AX4" s="26"/>
      <c r="AY4" s="26"/>
      <c r="AZ4" s="26"/>
      <c r="BA4" s="26"/>
      <c r="BB4" s="29"/>
      <c r="BC4" s="219"/>
      <c r="BD4" s="219"/>
      <c r="BE4" s="219"/>
    </row>
    <row r="5" spans="1:58" s="1" customFormat="1" ht="15" x14ac:dyDescent="0.3">
      <c r="A5" s="26"/>
      <c r="B5" s="73"/>
      <c r="C5" s="225"/>
      <c r="D5" s="225"/>
      <c r="E5" s="67"/>
      <c r="F5" s="67"/>
      <c r="G5" s="67"/>
      <c r="H5" s="68"/>
      <c r="I5" s="68"/>
      <c r="J5" s="226"/>
      <c r="K5" s="68"/>
      <c r="L5" s="219"/>
      <c r="M5" s="26"/>
      <c r="N5" s="26"/>
      <c r="O5" s="219"/>
      <c r="P5" s="26"/>
      <c r="Q5" s="219"/>
      <c r="R5" s="219"/>
      <c r="S5" s="219"/>
      <c r="T5" s="26"/>
      <c r="U5" s="26"/>
      <c r="V5" s="26"/>
      <c r="W5" s="26"/>
      <c r="X5" s="48"/>
      <c r="Y5" s="221"/>
      <c r="Z5" s="295"/>
      <c r="AA5" s="475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73"/>
      <c r="AO5" s="273"/>
      <c r="AP5" s="273"/>
      <c r="AQ5" s="273"/>
      <c r="AR5" s="273"/>
      <c r="AS5" s="273"/>
      <c r="AT5" s="272"/>
      <c r="AU5" s="272"/>
      <c r="AV5" s="26"/>
      <c r="AW5" s="26"/>
      <c r="AX5" s="26"/>
      <c r="AY5" s="26"/>
      <c r="AZ5" s="26"/>
      <c r="BA5" s="26"/>
      <c r="BB5" s="29"/>
      <c r="BC5" s="219"/>
      <c r="BD5" s="219"/>
      <c r="BE5" s="219"/>
    </row>
    <row r="6" spans="1:58" s="1" customFormat="1" ht="27.6" customHeight="1" x14ac:dyDescent="0.3">
      <c r="A6" s="227"/>
      <c r="B6" s="86"/>
      <c r="C6" s="228" t="s">
        <v>127</v>
      </c>
      <c r="D6" s="228" t="s">
        <v>81</v>
      </c>
      <c r="E6" s="297"/>
      <c r="F6" s="465" t="s">
        <v>128</v>
      </c>
      <c r="G6" s="476" t="s">
        <v>129</v>
      </c>
      <c r="H6" s="462" t="s">
        <v>130</v>
      </c>
      <c r="I6" s="464"/>
      <c r="J6" s="464"/>
      <c r="K6" s="464"/>
      <c r="L6" s="464"/>
      <c r="M6" s="464"/>
      <c r="N6" s="464"/>
      <c r="O6" s="464"/>
      <c r="P6" s="464"/>
      <c r="Q6" s="228" t="s">
        <v>131</v>
      </c>
      <c r="R6" s="228">
        <v>0</v>
      </c>
      <c r="S6" s="228">
        <v>1</v>
      </c>
      <c r="T6" s="84"/>
      <c r="U6" s="84"/>
      <c r="V6" s="84"/>
      <c r="W6" s="85"/>
      <c r="X6" s="291"/>
      <c r="Y6" s="221"/>
      <c r="Z6" s="295"/>
      <c r="AA6" s="475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473" t="s">
        <v>82</v>
      </c>
      <c r="AO6" s="473"/>
      <c r="AP6" s="473"/>
      <c r="AQ6" s="473"/>
      <c r="AR6" s="473"/>
      <c r="AS6" s="473"/>
      <c r="AT6" s="469" t="s">
        <v>70</v>
      </c>
      <c r="AU6" s="469"/>
      <c r="AV6" s="462" t="s">
        <v>105</v>
      </c>
      <c r="AW6" s="463"/>
      <c r="AX6" s="462" t="s">
        <v>132</v>
      </c>
      <c r="AY6" s="464"/>
      <c r="AZ6" s="464"/>
      <c r="BA6" s="465"/>
      <c r="BB6" s="211" t="s">
        <v>133</v>
      </c>
      <c r="BC6" s="219" t="s">
        <v>134</v>
      </c>
      <c r="BD6" s="219"/>
      <c r="BE6" s="219"/>
    </row>
    <row r="7" spans="1:58" s="290" customFormat="1" ht="39" customHeight="1" x14ac:dyDescent="0.25">
      <c r="A7" s="279" t="s">
        <v>135</v>
      </c>
      <c r="B7" s="274" t="s">
        <v>80</v>
      </c>
      <c r="C7" s="281"/>
      <c r="D7" s="281"/>
      <c r="E7" s="241" t="s">
        <v>136</v>
      </c>
      <c r="F7" s="478"/>
      <c r="G7" s="477"/>
      <c r="H7" s="275" t="s">
        <v>137</v>
      </c>
      <c r="I7" s="276" t="s">
        <v>138</v>
      </c>
      <c r="J7" s="282" t="s">
        <v>139</v>
      </c>
      <c r="K7" s="277" t="s">
        <v>140</v>
      </c>
      <c r="L7" s="281" t="s">
        <v>141</v>
      </c>
      <c r="M7" s="275" t="s">
        <v>142</v>
      </c>
      <c r="N7" s="276" t="s">
        <v>143</v>
      </c>
      <c r="O7" s="282" t="s">
        <v>144</v>
      </c>
      <c r="P7" s="277" t="s">
        <v>145</v>
      </c>
      <c r="Q7" s="281" t="s">
        <v>146</v>
      </c>
      <c r="R7" s="281" t="s">
        <v>147</v>
      </c>
      <c r="S7" s="281" t="s">
        <v>148</v>
      </c>
      <c r="T7" s="211" t="s">
        <v>149</v>
      </c>
      <c r="U7" s="211" t="s">
        <v>150</v>
      </c>
      <c r="V7" s="275" t="s">
        <v>151</v>
      </c>
      <c r="W7" s="278" t="s">
        <v>152</v>
      </c>
      <c r="X7" s="278" t="s">
        <v>153</v>
      </c>
      <c r="Y7" s="283" t="s">
        <v>154</v>
      </c>
      <c r="Z7" s="284" t="s">
        <v>155</v>
      </c>
      <c r="AA7" s="285" t="s">
        <v>134</v>
      </c>
      <c r="AB7" s="286" t="s">
        <v>49</v>
      </c>
      <c r="AC7" s="286" t="s">
        <v>59</v>
      </c>
      <c r="AD7" s="286" t="s">
        <v>57</v>
      </c>
      <c r="AE7" s="286" t="s">
        <v>55</v>
      </c>
      <c r="AF7" s="286" t="s">
        <v>156</v>
      </c>
      <c r="AG7" s="286" t="s">
        <v>157</v>
      </c>
      <c r="AH7" s="286" t="s">
        <v>61</v>
      </c>
      <c r="AI7" s="286" t="s">
        <v>65</v>
      </c>
      <c r="AJ7" s="286" t="s">
        <v>74</v>
      </c>
      <c r="AK7" s="286" t="s">
        <v>76</v>
      </c>
      <c r="AL7" s="286" t="s">
        <v>158</v>
      </c>
      <c r="AM7" s="286" t="s">
        <v>78</v>
      </c>
      <c r="AN7" s="287" t="s">
        <v>159</v>
      </c>
      <c r="AO7" s="286" t="s">
        <v>160</v>
      </c>
      <c r="AP7" s="286" t="s">
        <v>81</v>
      </c>
      <c r="AQ7" s="286" t="s">
        <v>161</v>
      </c>
      <c r="AR7" s="286" t="s">
        <v>162</v>
      </c>
      <c r="AS7" s="286" t="s">
        <v>39</v>
      </c>
      <c r="AT7" s="288" t="s">
        <v>163</v>
      </c>
      <c r="AU7" s="288" t="s">
        <v>164</v>
      </c>
      <c r="AV7" s="279" t="s">
        <v>165</v>
      </c>
      <c r="AW7" s="280" t="s">
        <v>166</v>
      </c>
      <c r="AX7" s="279" t="s">
        <v>38</v>
      </c>
      <c r="AY7" s="241" t="s">
        <v>39</v>
      </c>
      <c r="AZ7" s="241" t="s">
        <v>81</v>
      </c>
      <c r="BA7" s="280" t="s">
        <v>167</v>
      </c>
      <c r="BB7" s="280" t="s">
        <v>167</v>
      </c>
      <c r="BC7" s="289" t="s">
        <v>165</v>
      </c>
      <c r="BD7" s="289" t="s">
        <v>168</v>
      </c>
      <c r="BE7" s="289" t="s">
        <v>169</v>
      </c>
      <c r="BF7" s="290" t="s">
        <v>170</v>
      </c>
    </row>
    <row r="8" spans="1:58" s="1" customFormat="1" ht="15" x14ac:dyDescent="0.3">
      <c r="A8" s="218">
        <f t="shared" ref="A8:A37" si="0">WEEKNUM(B8)</f>
        <v>14</v>
      </c>
      <c r="B8" s="47">
        <f>Mrz!B38+1</f>
        <v>42094</v>
      </c>
      <c r="C8" s="219">
        <f t="shared" ref="C8:C37" si="1">NETWORKDAYS(B8,B8,Feiertage)</f>
        <v>1</v>
      </c>
      <c r="D8" s="220" t="str">
        <f t="shared" ref="D8:D37" si="2">IF(ISERROR(VLOOKUP(B8,Feiertage_ganz,4,FALSE)),"",(VLOOKUP(B8,Feiertage_ganz,4,FALSE)))</f>
        <v/>
      </c>
      <c r="E8" s="298" t="str">
        <f t="shared" ref="E8:E37" si="3">D8</f>
        <v/>
      </c>
      <c r="F8" s="87">
        <f t="shared" ref="F8:F37" si="4">B8</f>
        <v>42094</v>
      </c>
      <c r="G8" s="147"/>
      <c r="H8" s="214"/>
      <c r="I8" s="75"/>
      <c r="J8" s="221">
        <f t="shared" ref="J8:J37" si="5">I8-H8</f>
        <v>0</v>
      </c>
      <c r="K8" s="76"/>
      <c r="L8" s="221">
        <f>IF(J8-K8&gt;Pause_9,Pause_9p,IF(J8-K8&gt;Pause_6,Pause_6p,0))</f>
        <v>0</v>
      </c>
      <c r="M8" s="74"/>
      <c r="N8" s="75"/>
      <c r="O8" s="221">
        <f t="shared" ref="O8:O37" si="6">N8-M8</f>
        <v>0</v>
      </c>
      <c r="P8" s="76"/>
      <c r="Q8" s="221">
        <f>IF(O8-P8&gt;Pause_9,Pause_9p,IF(O8-P8&gt;Pause_6,Pause_6p,0))</f>
        <v>0</v>
      </c>
      <c r="R8" s="221">
        <f>IF(J8+O8-K8-P8&gt;Pause_9,Pause_9p,IF(J8+O8-K8-P8&gt;Pause_6,Pause_6p,0))</f>
        <v>0</v>
      </c>
      <c r="S8" s="221">
        <f t="shared" ref="S8:S37" si="7">IF(M8&gt;I8,IF(M8-I8+K8+P8&gt;=R8,K8+P8,R8),IF(K8+P8&gt;=R8,K8+P8,R8))</f>
        <v>0</v>
      </c>
      <c r="T8" s="79">
        <f t="shared" ref="T8:T37" si="8">IF(I8&lt;=M8,I8-H8+N8-M8,IF(I8&lt;=N8,N8-H8,I8-H8))</f>
        <v>0</v>
      </c>
      <c r="U8" s="79">
        <f>ROUND(T8-S8,10)</f>
        <v>0</v>
      </c>
      <c r="V8" s="80">
        <f t="shared" ref="V8:V37" ca="1" si="9">ROUND(IF(AND(D8&lt;&gt;"",G8=""),IF(ISERROR(VLOOKUP(B8,Feiertage,3,FALSE)),0,Z8),IF(B8="",0,IF(G8&lt;&gt;"",IF(UPPER(G8)=VLOOKUP(UPPER(G8),Code,1,FALSE),VLOOKUP(G8,Code,2,FALSE)*Z8,Z8),Z8))),10)</f>
        <v>0.33333333329999998</v>
      </c>
      <c r="W8" s="249" t="str">
        <f t="shared" ref="W8:W37" ca="1" si="10">IF(OR(AND(VLOOKUP(UPPER(G8),Code,3,FALSE)=2,U8&gt;V8),AND(I8&lt;&gt;0,B8&lt;&gt;"",G8=""),VLOOKUP(UPPER(G8),Code,3,FALSE)=1),U8-V8,"")</f>
        <v/>
      </c>
      <c r="X8" s="292"/>
      <c r="Y8" s="221">
        <f t="shared" ref="Y8:Y37" si="11">IF(G8&lt;&gt;"",IF(VLOOKUP(G8,Code,2,FALSE)=2,U8,IF(AND(VLOOKUP(G8,Code,2,FALSE)=1,U8&gt;Z8),U8,0)),0)</f>
        <v>0</v>
      </c>
      <c r="Z8" s="299">
        <f ca="1">IF(B8="","",INDIRECT(ADDRESS(MATCH(B8,Soll_AZ,1)+MATCH("Arbeitszeit 1 ab",Voreinstellung_Übersicht!B:B,0)-1,WEEKDAY(B8,2)+4,,,"Voreinstellung_Übersicht"),TRUE))</f>
        <v>0.33333333333333331</v>
      </c>
      <c r="AA8" s="300">
        <f ca="1">IF(W8="",Übertrag_Mehrarbeit,Übertrag_Mehrarbeit+W8)</f>
        <v>0</v>
      </c>
      <c r="AB8" s="219">
        <f t="shared" ref="AB8:AB37" si="12">IF(AND($G8&lt;&gt;0,IF(ISERROR(VLOOKUP($G8,Code,1,FALSE)),FALSE,VLOOKUP($G8,Code,1,FALSE)="U"),$C8=1),1,0)</f>
        <v>0</v>
      </c>
      <c r="AC8" s="219">
        <f t="shared" ref="AC8:AC37" si="13">IF(AND($G8&lt;&gt;0,IF(ISERROR(VLOOKUP($G8,Code,1,FALSE)),FALSE,VLOOKUP($G8,Code,1,FALSE))="WB"),1,0)</f>
        <v>0</v>
      </c>
      <c r="AD8" s="219">
        <f t="shared" ref="AD8:AD37" si="14">IF(AND($G8&lt;&gt;0,IF(ISERROR(VLOOKUP($G8,Code,1,FALSE)),FALSE,VLOOKUP($G8,Code,1,FALSE))="DR",$C8=1),1,0)</f>
        <v>0</v>
      </c>
      <c r="AE8" s="219">
        <f t="shared" ref="AE8:AE37" si="15">IF(AND($G8&lt;&gt;0,IF(ISERROR(VLOOKUP($G8,Code,1,FALSE)),FALSE,VLOOKUP($G8,Code,1,FALSE))="KK",$C8=1),1,0)</f>
        <v>0</v>
      </c>
      <c r="AF8" s="219">
        <f t="shared" ref="AF8:AF37" si="16">IF(AND($G8&lt;&gt;0,IF(ISERROR(VLOOKUP($G8,Code,1,FALSE)),FALSE,VLOOKUP($G8,Code,1,FALSE))="K",$C8=1),1,0)</f>
        <v>0</v>
      </c>
      <c r="AG8" s="219">
        <f t="shared" ref="AG8:AG37" si="17">IF(AND($G8&lt;&gt;0,IF(ISERROR(VLOOKUP($G8,Code,1,FALSE)),FALSE,VLOOKUP($G8,Code,1,FALSE))="KZT"),1,0)</f>
        <v>0</v>
      </c>
      <c r="AH8" s="219">
        <f t="shared" ref="AH8:AH37" si="18">IF(AND($G8&lt;&gt;0,IF(ISERROR(VLOOKUP($G8,Code,1,FALSE)),FALSE,VLOOKUP($G8,Code,1,FALSE))="mEG",$C8=1),1,0)</f>
        <v>0</v>
      </c>
      <c r="AI8" s="219">
        <f t="shared" ref="AI8:AI37" si="19">IF(AND($G8&lt;&gt;0,IF(ISERROR(VLOOKUP($G8,Code,1,FALSE)),FALSE,VLOOKUP($G8,Code,1,FALSE))="Ku"),1,0)</f>
        <v>0</v>
      </c>
      <c r="AJ8" s="219">
        <f t="shared" ref="AJ8:AJ37" si="20">IF(AND($G8&lt;&gt;0,IF(ISERROR(VLOOKUP($G8,Code,1,FALSE)),FALSE,VLOOKUP($G8,Code,1,FALSE))="§29(1)",$C8=1),1,0)</f>
        <v>0</v>
      </c>
      <c r="AK8" s="219">
        <f t="shared" ref="AK8:AK37" si="21">IF(AND($G8&lt;&gt;0,IF(ISERROR(VLOOKUP($G8,Code,1,FALSE)),FALSE,VLOOKUP($G8,Code,1,FALSE))="§29(2)",$C8=1),1,0)</f>
        <v>0</v>
      </c>
      <c r="AL8" s="219">
        <f t="shared" ref="AL8:AL37" si="22">IF(AND($G8&lt;&gt;0,IF(ISERROR(VLOOKUP($G8,Code,1,FALSE)),FALSE,VLOOKUP($G8,Code,1,FALSE))="§29(3)",$C8=1),1,0)</f>
        <v>0</v>
      </c>
      <c r="AM8" s="219">
        <f t="shared" ref="AM8:AM37" si="23">IF(AND($G8&lt;&gt;0,IF(ISERROR(VLOOKUP($G8,Code,1,FALSE)),FALSE,VLOOKUP($G8,Code,1,FALSE))="§29(4)",$C8=1),1,0)</f>
        <v>0</v>
      </c>
      <c r="AN8" s="301">
        <f t="shared" ref="AN8:AN37" si="24">IF(OR(AND(H8&lt;Nacht_6,I8-K8&lt;=Nacht_6),AND(I8&gt;Nacht_22,H8+K8&gt;=Nacht_22)),I8-H8-K8,IF(H8&lt;Nacht_6,IF(I8&gt;Nacht_22,Nacht_6-H8+I8-Nacht_22,Nacht_6-H8),IF(I8&gt;Nacht_22,I8-Nacht_22,0)))</f>
        <v>0</v>
      </c>
      <c r="AO8" s="301">
        <f t="shared" ref="AO8:AO37" si="25">IF(OR(AND(M8&lt;Nacht_6,N8-P8&lt;=Nacht_6),AND(N8&gt;Nacht_22,M8+P8&gt;=Nacht_22)),N8-M8-P8,IF(M8&lt;Nacht_6,IF(N8&gt;Nacht_22,Nacht_6-M8+N8-Nacht_22,Nacht_6-M8),IF(N8&gt;Nacht_22,N8-Nacht_22,0)))</f>
        <v>0</v>
      </c>
      <c r="AP8" s="301">
        <f t="shared" ref="AP8:AP37" si="26">IF(ISERROR(VLOOKUP(B8,Feiertage_ganz,3,FALSE)),0,IF(VLOOKUP(B8,Feiertage_ganz,3,FALSE)=1,U8,0))</f>
        <v>0</v>
      </c>
      <c r="AQ8" s="301">
        <f t="shared" ref="AQ8:AQ37" si="27">IF(OR(I8&lt;=Samstagszuschlag,H8&gt;=Nacht_22),0,IF(H8&lt;=Samstagszuschlag,IF(I8&lt;=Nacht_22,I8-Samstagszuschlag,Nacht_22-Samstagszuschlag),IF(I8&lt;=Nacht_22,I8-H8,Nacht_22-H8)))</f>
        <v>0</v>
      </c>
      <c r="AR8" s="301">
        <f t="shared" ref="AR8:AR37" si="28">IF(OR(N8&lt;=Samstagszuschlag,M8&lt;=Nacht_22),0,IF(M8&lt;=Samstagszuschlag,IF(N8&lt;=Nacht_22,N8-Samstagszuschlag,Nacht_22-Samstagszuschlag),IF(N8&lt;=Nacht_22,N8-M8,Nacht_22-M8)))</f>
        <v>0</v>
      </c>
      <c r="AS8" s="301">
        <f t="shared" ref="AS8:AS37" si="29">IF(WEEKDAY(B8,2)=7,U8,0)</f>
        <v>0</v>
      </c>
      <c r="AT8" s="302">
        <f t="shared" ref="AT8:AT37" si="30">IF(ISERROR(VLOOKUP(G8,Code_Liste,1,FALSE)),0,I8-H8)</f>
        <v>0</v>
      </c>
      <c r="AU8" s="302">
        <f t="shared" ref="AU8:AU37" si="31">IF(ISERROR(VLOOKUP(G8,Code_Liste,1,FALSE)),0,N8-M8)</f>
        <v>0</v>
      </c>
      <c r="AV8" s="81">
        <f t="shared" ref="AV8:AV37" si="32">SUM(AN8:AO8)</f>
        <v>0</v>
      </c>
      <c r="AW8" s="82">
        <f t="shared" ref="AW8:AW37" si="33">AV8*Zuschlag_Nacht/100</f>
        <v>0</v>
      </c>
      <c r="AX8" s="81">
        <f t="shared" ref="AX8:AX37" si="34">IF(WEEKDAY(B8,2)=6,AQ8+AR8,0)</f>
        <v>0</v>
      </c>
      <c r="AY8" s="83">
        <f t="shared" ref="AY8:AY37" si="35">AS8</f>
        <v>0</v>
      </c>
      <c r="AZ8" s="83">
        <f t="shared" ref="AZ8:AZ37" si="36">AP8</f>
        <v>0</v>
      </c>
      <c r="BA8" s="82">
        <f>IF(OR(B8=Feiertage!$A$16,B8=Feiertage!$A$19),U8*Zuschläge_24_31/100,IF(AZ8&gt;0,AZ8*Feiertag_mit/100,IF(AX8&gt;0,AX8*Zuschläge_Sa/100,IF(AY8&gt;0,AY8*Zuschlag_So/100,0))))</f>
        <v>0</v>
      </c>
      <c r="BB8" s="82">
        <f>IF(AND(B8&lt;&gt;0,G8=Voreinstellung_Übersicht!$D$41),IF(EG=1,W8*Über_klein/100,IF(EG=2,W8*Über_groß/100,"Fehler")),0)</f>
        <v>0</v>
      </c>
      <c r="BC8" s="299">
        <f ca="1">Mrz!BC39</f>
        <v>0</v>
      </c>
      <c r="BD8" s="219">
        <f t="shared" ref="BD8:BD37" ca="1" si="37">IF(OR(AND(BC8&gt;=0,BC8&lt;=(grün_plus*BE8/100%)),AND(BC8&lt;=0,BC8&gt;=(grün_minus*BE8/100%))),1,IF(OR(AND(BC8&gt;0,BC8&lt;=(gelb_plus*BE8/100%)),AND(BC8&lt;0,BC8&gt;=(gelb_minus*BE8/100%))),2,3))</f>
        <v>1</v>
      </c>
      <c r="BE8" s="303">
        <f ca="1">IF(B8="","",INDIRECT(ADDRESS(MATCH(B8,Soll_AZ,1)+MATCH("Arbeitszeit 1 ab",Voreinstellung_Übersicht!B:B,0)-1,4,,,"Voreinstellung_Übersicht"),TRUE))</f>
        <v>1.6666666666666665</v>
      </c>
      <c r="BF8" s="1">
        <f>IF(OR(G8="WB",G8="DR",U8&gt;0),1,0)</f>
        <v>0</v>
      </c>
    </row>
    <row r="9" spans="1:58" s="1" customFormat="1" ht="15" x14ac:dyDescent="0.3">
      <c r="A9" s="218">
        <f t="shared" si="0"/>
        <v>14</v>
      </c>
      <c r="B9" s="47">
        <f t="shared" ref="B9:B37" si="38">B8+1</f>
        <v>42095</v>
      </c>
      <c r="C9" s="219">
        <f t="shared" si="1"/>
        <v>1</v>
      </c>
      <c r="D9" s="220" t="str">
        <f t="shared" si="2"/>
        <v/>
      </c>
      <c r="E9" s="298" t="str">
        <f t="shared" si="3"/>
        <v/>
      </c>
      <c r="F9" s="87">
        <f t="shared" si="4"/>
        <v>42095</v>
      </c>
      <c r="G9" s="147"/>
      <c r="H9" s="74"/>
      <c r="I9" s="75"/>
      <c r="J9" s="221">
        <f t="shared" si="5"/>
        <v>0</v>
      </c>
      <c r="K9" s="76"/>
      <c r="L9" s="221">
        <f>IF(J9-K9&gt;Pause_9,Pause_9p,IF(J9-K9&gt;Pause_6,Pause_6p,0))</f>
        <v>0</v>
      </c>
      <c r="M9" s="74"/>
      <c r="N9" s="75"/>
      <c r="O9" s="221">
        <f t="shared" si="6"/>
        <v>0</v>
      </c>
      <c r="P9" s="76"/>
      <c r="Q9" s="221">
        <f>IF(O9-P9&gt;Pause_9,Pause_9p,IF(O9-P9&gt;Pause_6,Pause_6p,0))</f>
        <v>0</v>
      </c>
      <c r="R9" s="221">
        <f>IF(J9+O9-K9-P9&gt;Pause_9,Pause_9p,IF(J9+O9-K9-P9&gt;Pause_6,Pause_6p,0))</f>
        <v>0</v>
      </c>
      <c r="S9" s="221">
        <f t="shared" si="7"/>
        <v>0</v>
      </c>
      <c r="T9" s="79">
        <f t="shared" si="8"/>
        <v>0</v>
      </c>
      <c r="U9" s="79">
        <f t="shared" ref="U9:U37" si="39">ROUND(T9-S9,10)</f>
        <v>0</v>
      </c>
      <c r="V9" s="80">
        <f t="shared" ca="1" si="9"/>
        <v>0.33333333329999998</v>
      </c>
      <c r="W9" s="249" t="str">
        <f t="shared" ca="1" si="10"/>
        <v/>
      </c>
      <c r="X9" s="293"/>
      <c r="Y9" s="221">
        <f t="shared" si="11"/>
        <v>0</v>
      </c>
      <c r="Z9" s="299">
        <f ca="1">IF(B9="","",INDIRECT(ADDRESS(MATCH(B9,Soll_AZ,1)+MATCH("Arbeitszeit 1 ab",Voreinstellung_Übersicht!B:B,0)-1,WEEKDAY(B9,2)+4,,,"Voreinstellung_Übersicht"),TRUE))</f>
        <v>0.33333333333333331</v>
      </c>
      <c r="AA9" s="300">
        <f t="shared" ref="AA9:AA37" ca="1" si="40">IF(W9="",AA8,AA8+W9)</f>
        <v>0</v>
      </c>
      <c r="AB9" s="219">
        <f t="shared" si="12"/>
        <v>0</v>
      </c>
      <c r="AC9" s="219">
        <f t="shared" si="13"/>
        <v>0</v>
      </c>
      <c r="AD9" s="219">
        <f t="shared" si="14"/>
        <v>0</v>
      </c>
      <c r="AE9" s="219">
        <f t="shared" si="15"/>
        <v>0</v>
      </c>
      <c r="AF9" s="219">
        <f t="shared" si="16"/>
        <v>0</v>
      </c>
      <c r="AG9" s="219">
        <f t="shared" si="17"/>
        <v>0</v>
      </c>
      <c r="AH9" s="219">
        <f t="shared" si="18"/>
        <v>0</v>
      </c>
      <c r="AI9" s="219">
        <f t="shared" si="19"/>
        <v>0</v>
      </c>
      <c r="AJ9" s="219">
        <f t="shared" si="20"/>
        <v>0</v>
      </c>
      <c r="AK9" s="219">
        <f t="shared" si="21"/>
        <v>0</v>
      </c>
      <c r="AL9" s="219">
        <f t="shared" si="22"/>
        <v>0</v>
      </c>
      <c r="AM9" s="219">
        <f t="shared" si="23"/>
        <v>0</v>
      </c>
      <c r="AN9" s="301">
        <f t="shared" si="24"/>
        <v>0</v>
      </c>
      <c r="AO9" s="301">
        <f t="shared" si="25"/>
        <v>0</v>
      </c>
      <c r="AP9" s="301">
        <f t="shared" si="26"/>
        <v>0</v>
      </c>
      <c r="AQ9" s="301">
        <f t="shared" si="27"/>
        <v>0</v>
      </c>
      <c r="AR9" s="301">
        <f t="shared" si="28"/>
        <v>0</v>
      </c>
      <c r="AS9" s="301">
        <f t="shared" si="29"/>
        <v>0</v>
      </c>
      <c r="AT9" s="302">
        <f t="shared" si="30"/>
        <v>0</v>
      </c>
      <c r="AU9" s="302">
        <f t="shared" si="31"/>
        <v>0</v>
      </c>
      <c r="AV9" s="81">
        <f t="shared" si="32"/>
        <v>0</v>
      </c>
      <c r="AW9" s="82">
        <f t="shared" si="33"/>
        <v>0</v>
      </c>
      <c r="AX9" s="81">
        <f t="shared" si="34"/>
        <v>0</v>
      </c>
      <c r="AY9" s="83">
        <f t="shared" si="35"/>
        <v>0</v>
      </c>
      <c r="AZ9" s="83">
        <f t="shared" si="36"/>
        <v>0</v>
      </c>
      <c r="BA9" s="82">
        <f>IF(OR(B9=Feiertage!$A$16,B9=Feiertage!$A$19),U9*Zuschläge_24_31/100,IF(AZ9&gt;0,AZ9*Feiertag_mit/100,IF(AX9&gt;0,AX9*Zuschläge_Sa/100,IF(AY9&gt;0,AY9*Zuschlag_So/100,0))))</f>
        <v>0</v>
      </c>
      <c r="BB9" s="82">
        <f>IF(AND(B9&lt;&gt;0,G9=Voreinstellung_Übersicht!$D$41),IF(EG=1,W9*Über_klein/100,IF(EG=2,W9*Über_groß/100,"Fehler")),0)</f>
        <v>0</v>
      </c>
      <c r="BC9" s="299">
        <f t="shared" ref="BC9:BC38" ca="1" si="41">IF(W9="",BC8,BC8+W9)</f>
        <v>0</v>
      </c>
      <c r="BD9" s="219">
        <f t="shared" ca="1" si="37"/>
        <v>1</v>
      </c>
      <c r="BE9" s="303">
        <f ca="1">IF(B9="","",INDIRECT(ADDRESS(MATCH(B9,Soll_AZ,1)+MATCH("Arbeitszeit 1 ab",Voreinstellung_Übersicht!B:B,0)-1,4,,,"Voreinstellung_Übersicht"),TRUE))</f>
        <v>1.6666666666666665</v>
      </c>
      <c r="BF9" s="1">
        <f t="shared" ref="BF9:BF38" si="42">IF(OR(G9="WB",G9="DR",U9&gt;0),1,0)</f>
        <v>0</v>
      </c>
    </row>
    <row r="10" spans="1:58" s="1" customFormat="1" ht="15" x14ac:dyDescent="0.3">
      <c r="A10" s="218">
        <f t="shared" si="0"/>
        <v>14</v>
      </c>
      <c r="B10" s="47">
        <f t="shared" si="38"/>
        <v>42096</v>
      </c>
      <c r="C10" s="219">
        <f t="shared" si="1"/>
        <v>1</v>
      </c>
      <c r="D10" s="220" t="str">
        <f t="shared" si="2"/>
        <v/>
      </c>
      <c r="E10" s="298" t="str">
        <f t="shared" si="3"/>
        <v/>
      </c>
      <c r="F10" s="87">
        <f t="shared" si="4"/>
        <v>42096</v>
      </c>
      <c r="G10" s="147"/>
      <c r="H10" s="74"/>
      <c r="I10" s="75"/>
      <c r="J10" s="221">
        <f t="shared" si="5"/>
        <v>0</v>
      </c>
      <c r="K10" s="76"/>
      <c r="L10" s="221">
        <f>IF(J10-K10&gt;=Pause_9,Pause_9p,IF(J10-K10&gt;=Pause_6,Pause_6p,0))</f>
        <v>0</v>
      </c>
      <c r="M10" s="74"/>
      <c r="N10" s="75"/>
      <c r="O10" s="221">
        <f t="shared" si="6"/>
        <v>0</v>
      </c>
      <c r="P10" s="76"/>
      <c r="Q10" s="221">
        <f>IF(O10-P10&gt;Pause_9,Pause_9p,IF(O10-P10&gt;Pause_6,Pause_6p,0))</f>
        <v>0</v>
      </c>
      <c r="R10" s="221">
        <f>IF(J10+O10-K10-P10&gt;Pause_9,Pause_9p,IF(J10+O10-K10-P10&gt;Pause_6,Pause_6p,0))</f>
        <v>0</v>
      </c>
      <c r="S10" s="221">
        <f t="shared" si="7"/>
        <v>0</v>
      </c>
      <c r="T10" s="79">
        <f t="shared" si="8"/>
        <v>0</v>
      </c>
      <c r="U10" s="79">
        <f t="shared" si="39"/>
        <v>0</v>
      </c>
      <c r="V10" s="80">
        <f t="shared" ca="1" si="9"/>
        <v>0.33333333329999998</v>
      </c>
      <c r="W10" s="249" t="str">
        <f t="shared" ca="1" si="10"/>
        <v/>
      </c>
      <c r="X10" s="293"/>
      <c r="Y10" s="221">
        <f t="shared" si="11"/>
        <v>0</v>
      </c>
      <c r="Z10" s="299">
        <f ca="1">IF(B10="","",INDIRECT(ADDRESS(MATCH(B10,Soll_AZ,1)+MATCH("Arbeitszeit 1 ab",Voreinstellung_Übersicht!B:B,0)-1,WEEKDAY(B10,2)+4,,,"Voreinstellung_Übersicht"),TRUE))</f>
        <v>0.33333333333333331</v>
      </c>
      <c r="AA10" s="300">
        <f t="shared" ca="1" si="40"/>
        <v>0</v>
      </c>
      <c r="AB10" s="219">
        <f t="shared" si="12"/>
        <v>0</v>
      </c>
      <c r="AC10" s="219">
        <f t="shared" si="13"/>
        <v>0</v>
      </c>
      <c r="AD10" s="219">
        <f t="shared" si="14"/>
        <v>0</v>
      </c>
      <c r="AE10" s="219">
        <f t="shared" si="15"/>
        <v>0</v>
      </c>
      <c r="AF10" s="219">
        <f t="shared" si="16"/>
        <v>0</v>
      </c>
      <c r="AG10" s="219">
        <f t="shared" si="17"/>
        <v>0</v>
      </c>
      <c r="AH10" s="219">
        <f t="shared" si="18"/>
        <v>0</v>
      </c>
      <c r="AI10" s="219">
        <f t="shared" si="19"/>
        <v>0</v>
      </c>
      <c r="AJ10" s="219">
        <f t="shared" si="20"/>
        <v>0</v>
      </c>
      <c r="AK10" s="219">
        <f t="shared" si="21"/>
        <v>0</v>
      </c>
      <c r="AL10" s="219">
        <f t="shared" si="22"/>
        <v>0</v>
      </c>
      <c r="AM10" s="219">
        <f t="shared" si="23"/>
        <v>0</v>
      </c>
      <c r="AN10" s="301">
        <f t="shared" si="24"/>
        <v>0</v>
      </c>
      <c r="AO10" s="301">
        <f t="shared" si="25"/>
        <v>0</v>
      </c>
      <c r="AP10" s="301">
        <f t="shared" si="26"/>
        <v>0</v>
      </c>
      <c r="AQ10" s="301">
        <f t="shared" si="27"/>
        <v>0</v>
      </c>
      <c r="AR10" s="301">
        <f t="shared" si="28"/>
        <v>0</v>
      </c>
      <c r="AS10" s="301">
        <f t="shared" si="29"/>
        <v>0</v>
      </c>
      <c r="AT10" s="302">
        <f t="shared" si="30"/>
        <v>0</v>
      </c>
      <c r="AU10" s="302">
        <f t="shared" si="31"/>
        <v>0</v>
      </c>
      <c r="AV10" s="81">
        <f t="shared" si="32"/>
        <v>0</v>
      </c>
      <c r="AW10" s="82">
        <f t="shared" si="33"/>
        <v>0</v>
      </c>
      <c r="AX10" s="81">
        <f t="shared" si="34"/>
        <v>0</v>
      </c>
      <c r="AY10" s="83">
        <f t="shared" si="35"/>
        <v>0</v>
      </c>
      <c r="AZ10" s="83">
        <f t="shared" si="36"/>
        <v>0</v>
      </c>
      <c r="BA10" s="82">
        <f>IF(OR(B10=Feiertage!$A$16,B10=Feiertage!$A$19),U10*Zuschläge_24_31/100,IF(AZ10&gt;0,AZ10*Feiertag_mit/100,IF(AX10&gt;0,AX10*Zuschläge_Sa/100,IF(AY10&gt;0,AY10*Zuschlag_So/100,0))))</f>
        <v>0</v>
      </c>
      <c r="BB10" s="82">
        <f>IF(AND(B10&lt;&gt;0,G10=Voreinstellung_Übersicht!$D$41),IF(EG=1,W10*Über_klein/100,IF(EG=2,W10*Über_groß/100,"Fehler")),0)</f>
        <v>0</v>
      </c>
      <c r="BC10" s="299">
        <f t="shared" ca="1" si="41"/>
        <v>0</v>
      </c>
      <c r="BD10" s="219">
        <f t="shared" ca="1" si="37"/>
        <v>1</v>
      </c>
      <c r="BE10" s="303">
        <f ca="1">IF(B10="","",INDIRECT(ADDRESS(MATCH(B10,Soll_AZ,1)+MATCH("Arbeitszeit 1 ab",Voreinstellung_Übersicht!B:B,0)-1,4,,,"Voreinstellung_Übersicht"),TRUE))</f>
        <v>1.6666666666666665</v>
      </c>
      <c r="BF10" s="1">
        <f t="shared" si="42"/>
        <v>0</v>
      </c>
    </row>
    <row r="11" spans="1:58" s="1" customFormat="1" ht="15" x14ac:dyDescent="0.3">
      <c r="A11" s="218">
        <f t="shared" si="0"/>
        <v>14</v>
      </c>
      <c r="B11" s="47">
        <f t="shared" si="38"/>
        <v>42097</v>
      </c>
      <c r="C11" s="219">
        <f t="shared" si="1"/>
        <v>1</v>
      </c>
      <c r="D11" s="220" t="str">
        <f t="shared" si="2"/>
        <v/>
      </c>
      <c r="E11" s="298" t="str">
        <f t="shared" si="3"/>
        <v/>
      </c>
      <c r="F11" s="87">
        <f t="shared" si="4"/>
        <v>42097</v>
      </c>
      <c r="G11" s="147"/>
      <c r="H11" s="74"/>
      <c r="I11" s="75"/>
      <c r="J11" s="221">
        <f t="shared" si="5"/>
        <v>0</v>
      </c>
      <c r="K11" s="76"/>
      <c r="L11" s="221">
        <f>IF(J11-K11&gt;=Pause_9,Pause_9p,IF(J11-K11&gt;=Pause_6,Pause_6p,0))</f>
        <v>0</v>
      </c>
      <c r="M11" s="74"/>
      <c r="N11" s="75"/>
      <c r="O11" s="221">
        <f t="shared" si="6"/>
        <v>0</v>
      </c>
      <c r="P11" s="76"/>
      <c r="Q11" s="221">
        <f>IF(O11-P11&gt;Pause_9,Pause_9p,IF(O11-P11&gt;Pause_6,Pause_6p,0))</f>
        <v>0</v>
      </c>
      <c r="R11" s="221">
        <f>IF(J11+O11-K11-P11&gt;Pause_9,Pause_9p,IF(J11+O11-K11-P11&gt;Pause_6,Pause_6p,0))</f>
        <v>0</v>
      </c>
      <c r="S11" s="221">
        <f t="shared" si="7"/>
        <v>0</v>
      </c>
      <c r="T11" s="79">
        <f t="shared" si="8"/>
        <v>0</v>
      </c>
      <c r="U11" s="79">
        <f t="shared" si="39"/>
        <v>0</v>
      </c>
      <c r="V11" s="80">
        <f t="shared" ca="1" si="9"/>
        <v>0.33333333329999998</v>
      </c>
      <c r="W11" s="249" t="str">
        <f t="shared" ca="1" si="10"/>
        <v/>
      </c>
      <c r="X11" s="293"/>
      <c r="Y11" s="221">
        <f t="shared" si="11"/>
        <v>0</v>
      </c>
      <c r="Z11" s="299">
        <f ca="1">IF(B11="","",INDIRECT(ADDRESS(MATCH(B11,Soll_AZ,1)+MATCH("Arbeitszeit 1 ab",Voreinstellung_Übersicht!B:B,0)-1,WEEKDAY(B11,2)+4,,,"Voreinstellung_Übersicht"),TRUE))</f>
        <v>0.33333333333333331</v>
      </c>
      <c r="AA11" s="300">
        <f t="shared" ca="1" si="40"/>
        <v>0</v>
      </c>
      <c r="AB11" s="219">
        <f t="shared" si="12"/>
        <v>0</v>
      </c>
      <c r="AC11" s="219">
        <f t="shared" si="13"/>
        <v>0</v>
      </c>
      <c r="AD11" s="219">
        <f t="shared" si="14"/>
        <v>0</v>
      </c>
      <c r="AE11" s="219">
        <f t="shared" si="15"/>
        <v>0</v>
      </c>
      <c r="AF11" s="219">
        <f t="shared" si="16"/>
        <v>0</v>
      </c>
      <c r="AG11" s="219">
        <f t="shared" si="17"/>
        <v>0</v>
      </c>
      <c r="AH11" s="219">
        <f t="shared" si="18"/>
        <v>0</v>
      </c>
      <c r="AI11" s="219">
        <f t="shared" si="19"/>
        <v>0</v>
      </c>
      <c r="AJ11" s="219">
        <f t="shared" si="20"/>
        <v>0</v>
      </c>
      <c r="AK11" s="219">
        <f t="shared" si="21"/>
        <v>0</v>
      </c>
      <c r="AL11" s="219">
        <f t="shared" si="22"/>
        <v>0</v>
      </c>
      <c r="AM11" s="219">
        <f t="shared" si="23"/>
        <v>0</v>
      </c>
      <c r="AN11" s="301">
        <f t="shared" si="24"/>
        <v>0</v>
      </c>
      <c r="AO11" s="301">
        <f t="shared" si="25"/>
        <v>0</v>
      </c>
      <c r="AP11" s="301">
        <f t="shared" si="26"/>
        <v>0</v>
      </c>
      <c r="AQ11" s="301">
        <f t="shared" si="27"/>
        <v>0</v>
      </c>
      <c r="AR11" s="301">
        <f t="shared" si="28"/>
        <v>0</v>
      </c>
      <c r="AS11" s="301">
        <f t="shared" si="29"/>
        <v>0</v>
      </c>
      <c r="AT11" s="302">
        <f t="shared" si="30"/>
        <v>0</v>
      </c>
      <c r="AU11" s="302">
        <f t="shared" si="31"/>
        <v>0</v>
      </c>
      <c r="AV11" s="81">
        <f t="shared" si="32"/>
        <v>0</v>
      </c>
      <c r="AW11" s="82">
        <f t="shared" si="33"/>
        <v>0</v>
      </c>
      <c r="AX11" s="81">
        <f t="shared" si="34"/>
        <v>0</v>
      </c>
      <c r="AY11" s="83">
        <f t="shared" si="35"/>
        <v>0</v>
      </c>
      <c r="AZ11" s="83">
        <f t="shared" si="36"/>
        <v>0</v>
      </c>
      <c r="BA11" s="82">
        <f>IF(OR(B11=Feiertage!$A$16,B11=Feiertage!$A$19),U11*Zuschläge_24_31/100,IF(AZ11&gt;0,AZ11*Feiertag_mit/100,IF(AX11&gt;0,AX11*Zuschläge_Sa/100,IF(AY11&gt;0,AY11*Zuschlag_So/100,0))))</f>
        <v>0</v>
      </c>
      <c r="BB11" s="82">
        <f>IF(AND(B11&lt;&gt;0,G11=Voreinstellung_Übersicht!$D$41),IF(EG=1,W11*Über_klein/100,IF(EG=2,W11*Über_groß/100,"Fehler")),0)</f>
        <v>0</v>
      </c>
      <c r="BC11" s="299">
        <f t="shared" ca="1" si="41"/>
        <v>0</v>
      </c>
      <c r="BD11" s="219">
        <f t="shared" ca="1" si="37"/>
        <v>1</v>
      </c>
      <c r="BE11" s="303">
        <f ca="1">IF(B11="","",INDIRECT(ADDRESS(MATCH(B11,Soll_AZ,1)+MATCH("Arbeitszeit 1 ab",Voreinstellung_Übersicht!B:B,0)-1,4,,,"Voreinstellung_Übersicht"),TRUE))</f>
        <v>1.6666666666666665</v>
      </c>
      <c r="BF11" s="1">
        <f t="shared" si="42"/>
        <v>0</v>
      </c>
    </row>
    <row r="12" spans="1:58" s="1" customFormat="1" ht="15" x14ac:dyDescent="0.3">
      <c r="A12" s="218">
        <f t="shared" si="0"/>
        <v>14</v>
      </c>
      <c r="B12" s="47">
        <f t="shared" si="38"/>
        <v>42098</v>
      </c>
      <c r="C12" s="219">
        <f t="shared" si="1"/>
        <v>1</v>
      </c>
      <c r="D12" s="220" t="str">
        <f t="shared" si="2"/>
        <v/>
      </c>
      <c r="E12" s="298" t="str">
        <f t="shared" si="3"/>
        <v/>
      </c>
      <c r="F12" s="87">
        <f t="shared" si="4"/>
        <v>42098</v>
      </c>
      <c r="G12" s="147"/>
      <c r="H12" s="74"/>
      <c r="I12" s="75"/>
      <c r="J12" s="221">
        <f t="shared" si="5"/>
        <v>0</v>
      </c>
      <c r="K12" s="76"/>
      <c r="L12" s="221">
        <f t="shared" ref="L12:L37" si="43">IF(J12&gt;=Pause_9,Pause_9p,IF(J12&gt;=Pause_6,Pause_6p,0))</f>
        <v>0</v>
      </c>
      <c r="M12" s="74"/>
      <c r="N12" s="75"/>
      <c r="O12" s="221">
        <f t="shared" si="6"/>
        <v>0</v>
      </c>
      <c r="P12" s="76"/>
      <c r="Q12" s="221">
        <f t="shared" ref="Q12:Q37" si="44">IF(O12&gt;Pause_9,Pause_9p,IF(O12&gt;=Pause_6,Pause_6p,0))</f>
        <v>0</v>
      </c>
      <c r="R12" s="221">
        <f t="shared" ref="R12:R37" si="45">IF(J12+O12&gt;=Pause_9,Pause_9p,IF(J12+O12&gt;=Pause_6,Pause_6p,0))</f>
        <v>0</v>
      </c>
      <c r="S12" s="221">
        <f t="shared" si="7"/>
        <v>0</v>
      </c>
      <c r="T12" s="79">
        <f t="shared" si="8"/>
        <v>0</v>
      </c>
      <c r="U12" s="79">
        <f t="shared" si="39"/>
        <v>0</v>
      </c>
      <c r="V12" s="80">
        <f t="shared" ca="1" si="9"/>
        <v>0.33333333329999998</v>
      </c>
      <c r="W12" s="249" t="str">
        <f t="shared" ca="1" si="10"/>
        <v/>
      </c>
      <c r="X12" s="293"/>
      <c r="Y12" s="221">
        <f t="shared" si="11"/>
        <v>0</v>
      </c>
      <c r="Z12" s="299">
        <f ca="1">IF(B12="","",INDIRECT(ADDRESS(MATCH(B12,Soll_AZ,1)+MATCH("Arbeitszeit 1 ab",Voreinstellung_Übersicht!B:B,0)-1,WEEKDAY(B12,2)+4,,,"Voreinstellung_Übersicht"),TRUE))</f>
        <v>0.33333333333333331</v>
      </c>
      <c r="AA12" s="300">
        <f t="shared" ca="1" si="40"/>
        <v>0</v>
      </c>
      <c r="AB12" s="219">
        <f t="shared" si="12"/>
        <v>0</v>
      </c>
      <c r="AC12" s="219">
        <f t="shared" si="13"/>
        <v>0</v>
      </c>
      <c r="AD12" s="219">
        <f t="shared" si="14"/>
        <v>0</v>
      </c>
      <c r="AE12" s="219">
        <f t="shared" si="15"/>
        <v>0</v>
      </c>
      <c r="AF12" s="219">
        <f t="shared" si="16"/>
        <v>0</v>
      </c>
      <c r="AG12" s="219">
        <f t="shared" si="17"/>
        <v>0</v>
      </c>
      <c r="AH12" s="219">
        <f t="shared" si="18"/>
        <v>0</v>
      </c>
      <c r="AI12" s="219">
        <f t="shared" si="19"/>
        <v>0</v>
      </c>
      <c r="AJ12" s="219">
        <f t="shared" si="20"/>
        <v>0</v>
      </c>
      <c r="AK12" s="219">
        <f t="shared" si="21"/>
        <v>0</v>
      </c>
      <c r="AL12" s="219">
        <f t="shared" si="22"/>
        <v>0</v>
      </c>
      <c r="AM12" s="219">
        <f t="shared" si="23"/>
        <v>0</v>
      </c>
      <c r="AN12" s="301">
        <f t="shared" si="24"/>
        <v>0</v>
      </c>
      <c r="AO12" s="301">
        <f t="shared" si="25"/>
        <v>0</v>
      </c>
      <c r="AP12" s="301">
        <f t="shared" si="26"/>
        <v>0</v>
      </c>
      <c r="AQ12" s="301">
        <f t="shared" si="27"/>
        <v>0</v>
      </c>
      <c r="AR12" s="301">
        <f t="shared" si="28"/>
        <v>0</v>
      </c>
      <c r="AS12" s="301">
        <f t="shared" si="29"/>
        <v>0</v>
      </c>
      <c r="AT12" s="302">
        <f t="shared" si="30"/>
        <v>0</v>
      </c>
      <c r="AU12" s="302">
        <f t="shared" si="31"/>
        <v>0</v>
      </c>
      <c r="AV12" s="81">
        <f t="shared" si="32"/>
        <v>0</v>
      </c>
      <c r="AW12" s="82">
        <f t="shared" si="33"/>
        <v>0</v>
      </c>
      <c r="AX12" s="81">
        <f t="shared" si="34"/>
        <v>0</v>
      </c>
      <c r="AY12" s="83">
        <f t="shared" si="35"/>
        <v>0</v>
      </c>
      <c r="AZ12" s="83">
        <f t="shared" si="36"/>
        <v>0</v>
      </c>
      <c r="BA12" s="82">
        <f>IF(OR(B12=Feiertage!$A$16,B12=Feiertage!$A$19),U12*Zuschläge_24_31/100,IF(AZ12&gt;0,AZ12*Feiertag_mit/100,IF(AX12&gt;0,AX12*Zuschläge_Sa/100,IF(AY12&gt;0,AY12*Zuschlag_So/100,0))))</f>
        <v>0</v>
      </c>
      <c r="BB12" s="82">
        <f>IF(AND(B12&lt;&gt;0,G12=Voreinstellung_Übersicht!$D$41),IF(EG=1,W12*Über_klein/100,IF(EG=2,W12*Über_groß/100,"Fehler")),0)</f>
        <v>0</v>
      </c>
      <c r="BC12" s="299">
        <f t="shared" ca="1" si="41"/>
        <v>0</v>
      </c>
      <c r="BD12" s="219">
        <f t="shared" ca="1" si="37"/>
        <v>1</v>
      </c>
      <c r="BE12" s="303">
        <f ca="1">IF(B12="","",INDIRECT(ADDRESS(MATCH(B12,Soll_AZ,1)+MATCH("Arbeitszeit 1 ab",Voreinstellung_Übersicht!B:B,0)-1,4,,,"Voreinstellung_Übersicht"),TRUE))</f>
        <v>1.6666666666666665</v>
      </c>
      <c r="BF12" s="1">
        <f t="shared" si="42"/>
        <v>0</v>
      </c>
    </row>
    <row r="13" spans="1:58" s="1" customFormat="1" ht="15" x14ac:dyDescent="0.3">
      <c r="A13" s="218">
        <f t="shared" si="0"/>
        <v>14</v>
      </c>
      <c r="B13" s="47">
        <f t="shared" si="38"/>
        <v>42099</v>
      </c>
      <c r="C13" s="219">
        <f t="shared" si="1"/>
        <v>0</v>
      </c>
      <c r="D13" s="220" t="str">
        <f t="shared" si="2"/>
        <v/>
      </c>
      <c r="E13" s="298" t="str">
        <f t="shared" si="3"/>
        <v/>
      </c>
      <c r="F13" s="87">
        <f t="shared" si="4"/>
        <v>42099</v>
      </c>
      <c r="G13" s="147"/>
      <c r="H13" s="74"/>
      <c r="I13" s="75"/>
      <c r="J13" s="221">
        <f t="shared" si="5"/>
        <v>0</v>
      </c>
      <c r="K13" s="76"/>
      <c r="L13" s="221">
        <f t="shared" si="43"/>
        <v>0</v>
      </c>
      <c r="M13" s="74"/>
      <c r="N13" s="75"/>
      <c r="O13" s="221">
        <f t="shared" si="6"/>
        <v>0</v>
      </c>
      <c r="P13" s="76"/>
      <c r="Q13" s="221">
        <f t="shared" si="44"/>
        <v>0</v>
      </c>
      <c r="R13" s="221">
        <f t="shared" si="45"/>
        <v>0</v>
      </c>
      <c r="S13" s="221">
        <f t="shared" si="7"/>
        <v>0</v>
      </c>
      <c r="T13" s="79">
        <f t="shared" si="8"/>
        <v>0</v>
      </c>
      <c r="U13" s="79">
        <f t="shared" si="39"/>
        <v>0</v>
      </c>
      <c r="V13" s="80">
        <f t="shared" ca="1" si="9"/>
        <v>0</v>
      </c>
      <c r="W13" s="249" t="str">
        <f t="shared" ca="1" si="10"/>
        <v/>
      </c>
      <c r="X13" s="293"/>
      <c r="Y13" s="221">
        <f t="shared" si="11"/>
        <v>0</v>
      </c>
      <c r="Z13" s="299">
        <f ca="1">IF(B13="","",INDIRECT(ADDRESS(MATCH(B13,Soll_AZ,1)+MATCH("Arbeitszeit 1 ab",Voreinstellung_Übersicht!B:B,0)-1,WEEKDAY(B13,2)+4,,,"Voreinstellung_Übersicht"),TRUE))</f>
        <v>0</v>
      </c>
      <c r="AA13" s="300">
        <f t="shared" ca="1" si="40"/>
        <v>0</v>
      </c>
      <c r="AB13" s="219">
        <f t="shared" si="12"/>
        <v>0</v>
      </c>
      <c r="AC13" s="219">
        <f t="shared" si="13"/>
        <v>0</v>
      </c>
      <c r="AD13" s="219">
        <f t="shared" si="14"/>
        <v>0</v>
      </c>
      <c r="AE13" s="219">
        <f t="shared" si="15"/>
        <v>0</v>
      </c>
      <c r="AF13" s="219">
        <f t="shared" si="16"/>
        <v>0</v>
      </c>
      <c r="AG13" s="219">
        <f t="shared" si="17"/>
        <v>0</v>
      </c>
      <c r="AH13" s="219">
        <f t="shared" si="18"/>
        <v>0</v>
      </c>
      <c r="AI13" s="219">
        <f t="shared" si="19"/>
        <v>0</v>
      </c>
      <c r="AJ13" s="219">
        <f t="shared" si="20"/>
        <v>0</v>
      </c>
      <c r="AK13" s="219">
        <f t="shared" si="21"/>
        <v>0</v>
      </c>
      <c r="AL13" s="219">
        <f t="shared" si="22"/>
        <v>0</v>
      </c>
      <c r="AM13" s="219">
        <f t="shared" si="23"/>
        <v>0</v>
      </c>
      <c r="AN13" s="301">
        <f t="shared" si="24"/>
        <v>0</v>
      </c>
      <c r="AO13" s="301">
        <f t="shared" si="25"/>
        <v>0</v>
      </c>
      <c r="AP13" s="301">
        <f t="shared" si="26"/>
        <v>0</v>
      </c>
      <c r="AQ13" s="301">
        <f t="shared" si="27"/>
        <v>0</v>
      </c>
      <c r="AR13" s="301">
        <f t="shared" si="28"/>
        <v>0</v>
      </c>
      <c r="AS13" s="301">
        <f t="shared" si="29"/>
        <v>0</v>
      </c>
      <c r="AT13" s="302">
        <f t="shared" si="30"/>
        <v>0</v>
      </c>
      <c r="AU13" s="302">
        <f t="shared" si="31"/>
        <v>0</v>
      </c>
      <c r="AV13" s="81">
        <f t="shared" si="32"/>
        <v>0</v>
      </c>
      <c r="AW13" s="82">
        <f t="shared" si="33"/>
        <v>0</v>
      </c>
      <c r="AX13" s="81">
        <f t="shared" si="34"/>
        <v>0</v>
      </c>
      <c r="AY13" s="83">
        <f t="shared" si="35"/>
        <v>0</v>
      </c>
      <c r="AZ13" s="83">
        <f t="shared" si="36"/>
        <v>0</v>
      </c>
      <c r="BA13" s="82">
        <f>IF(OR(B13=Feiertage!$A$16,B13=Feiertage!$A$19),U13*Zuschläge_24_31/100,IF(AZ13&gt;0,AZ13*Feiertag_mit/100,IF(AX13&gt;0,AX13*Zuschläge_Sa/100,IF(AY13&gt;0,AY13*Zuschlag_So/100,0))))</f>
        <v>0</v>
      </c>
      <c r="BB13" s="82">
        <f>IF(AND(B13&lt;&gt;0,G13=Voreinstellung_Übersicht!$D$41),IF(EG=1,W13*Über_klein/100,IF(EG=2,W13*Über_groß/100,"Fehler")),0)</f>
        <v>0</v>
      </c>
      <c r="BC13" s="299">
        <f t="shared" ca="1" si="41"/>
        <v>0</v>
      </c>
      <c r="BD13" s="219">
        <f t="shared" ca="1" si="37"/>
        <v>1</v>
      </c>
      <c r="BE13" s="303">
        <f ca="1">IF(B13="","",INDIRECT(ADDRESS(MATCH(B13,Soll_AZ,1)+MATCH("Arbeitszeit 1 ab",Voreinstellung_Übersicht!B:B,0)-1,4,,,"Voreinstellung_Übersicht"),TRUE))</f>
        <v>1.6666666666666665</v>
      </c>
      <c r="BF13" s="1">
        <f t="shared" si="42"/>
        <v>0</v>
      </c>
    </row>
    <row r="14" spans="1:58" s="1" customFormat="1" ht="15" x14ac:dyDescent="0.3">
      <c r="A14" s="218">
        <f t="shared" si="0"/>
        <v>15</v>
      </c>
      <c r="B14" s="47">
        <f t="shared" si="38"/>
        <v>42100</v>
      </c>
      <c r="C14" s="219">
        <f t="shared" si="1"/>
        <v>0</v>
      </c>
      <c r="D14" s="220" t="str">
        <f t="shared" si="2"/>
        <v/>
      </c>
      <c r="E14" s="298" t="str">
        <f t="shared" si="3"/>
        <v/>
      </c>
      <c r="F14" s="87">
        <f t="shared" si="4"/>
        <v>42100</v>
      </c>
      <c r="G14" s="147"/>
      <c r="H14" s="74"/>
      <c r="I14" s="75"/>
      <c r="J14" s="221">
        <f t="shared" si="5"/>
        <v>0</v>
      </c>
      <c r="K14" s="76"/>
      <c r="L14" s="221">
        <f t="shared" si="43"/>
        <v>0</v>
      </c>
      <c r="M14" s="74"/>
      <c r="N14" s="75"/>
      <c r="O14" s="221">
        <f t="shared" si="6"/>
        <v>0</v>
      </c>
      <c r="P14" s="76"/>
      <c r="Q14" s="221">
        <f t="shared" si="44"/>
        <v>0</v>
      </c>
      <c r="R14" s="221">
        <f t="shared" si="45"/>
        <v>0</v>
      </c>
      <c r="S14" s="221">
        <f t="shared" si="7"/>
        <v>0</v>
      </c>
      <c r="T14" s="79">
        <f t="shared" si="8"/>
        <v>0</v>
      </c>
      <c r="U14" s="79">
        <f t="shared" si="39"/>
        <v>0</v>
      </c>
      <c r="V14" s="80">
        <f t="shared" ca="1" si="9"/>
        <v>0</v>
      </c>
      <c r="W14" s="249" t="str">
        <f t="shared" ca="1" si="10"/>
        <v/>
      </c>
      <c r="X14" s="293"/>
      <c r="Y14" s="221">
        <f t="shared" si="11"/>
        <v>0</v>
      </c>
      <c r="Z14" s="299">
        <f ca="1">IF(B14="","",INDIRECT(ADDRESS(MATCH(B14,Soll_AZ,1)+MATCH("Arbeitszeit 1 ab",Voreinstellung_Übersicht!B:B,0)-1,WEEKDAY(B14,2)+4,,,"Voreinstellung_Übersicht"),TRUE))</f>
        <v>0</v>
      </c>
      <c r="AA14" s="300">
        <f t="shared" ca="1" si="40"/>
        <v>0</v>
      </c>
      <c r="AB14" s="219">
        <f t="shared" si="12"/>
        <v>0</v>
      </c>
      <c r="AC14" s="219">
        <f t="shared" si="13"/>
        <v>0</v>
      </c>
      <c r="AD14" s="219">
        <f t="shared" si="14"/>
        <v>0</v>
      </c>
      <c r="AE14" s="219">
        <f t="shared" si="15"/>
        <v>0</v>
      </c>
      <c r="AF14" s="219">
        <f t="shared" si="16"/>
        <v>0</v>
      </c>
      <c r="AG14" s="219">
        <f t="shared" si="17"/>
        <v>0</v>
      </c>
      <c r="AH14" s="219">
        <f t="shared" si="18"/>
        <v>0</v>
      </c>
      <c r="AI14" s="219">
        <f t="shared" si="19"/>
        <v>0</v>
      </c>
      <c r="AJ14" s="219">
        <f t="shared" si="20"/>
        <v>0</v>
      </c>
      <c r="AK14" s="219">
        <f t="shared" si="21"/>
        <v>0</v>
      </c>
      <c r="AL14" s="219">
        <f t="shared" si="22"/>
        <v>0</v>
      </c>
      <c r="AM14" s="219">
        <f t="shared" si="23"/>
        <v>0</v>
      </c>
      <c r="AN14" s="301">
        <f t="shared" si="24"/>
        <v>0</v>
      </c>
      <c r="AO14" s="301">
        <f t="shared" si="25"/>
        <v>0</v>
      </c>
      <c r="AP14" s="301">
        <f t="shared" si="26"/>
        <v>0</v>
      </c>
      <c r="AQ14" s="301">
        <f t="shared" si="27"/>
        <v>0</v>
      </c>
      <c r="AR14" s="301">
        <f t="shared" si="28"/>
        <v>0</v>
      </c>
      <c r="AS14" s="301">
        <f t="shared" si="29"/>
        <v>0</v>
      </c>
      <c r="AT14" s="302">
        <f t="shared" si="30"/>
        <v>0</v>
      </c>
      <c r="AU14" s="302">
        <f t="shared" si="31"/>
        <v>0</v>
      </c>
      <c r="AV14" s="81">
        <f t="shared" si="32"/>
        <v>0</v>
      </c>
      <c r="AW14" s="82">
        <f t="shared" si="33"/>
        <v>0</v>
      </c>
      <c r="AX14" s="81">
        <f t="shared" si="34"/>
        <v>0</v>
      </c>
      <c r="AY14" s="83">
        <f t="shared" si="35"/>
        <v>0</v>
      </c>
      <c r="AZ14" s="83">
        <f t="shared" si="36"/>
        <v>0</v>
      </c>
      <c r="BA14" s="82">
        <f>IF(OR(B14=Feiertage!$A$16,B14=Feiertage!$A$19),U14*Zuschläge_24_31/100,IF(AZ14&gt;0,AZ14*Feiertag_mit/100,IF(AX14&gt;0,AX14*Zuschläge_Sa/100,IF(AY14&gt;0,AY14*Zuschlag_So/100,0))))</f>
        <v>0</v>
      </c>
      <c r="BB14" s="82">
        <f>IF(AND(B14&lt;&gt;0,G14=Voreinstellung_Übersicht!$D$41),IF(EG=1,W14*Über_klein/100,IF(EG=2,W14*Über_groß/100,"Fehler")),0)</f>
        <v>0</v>
      </c>
      <c r="BC14" s="299">
        <f t="shared" ca="1" si="41"/>
        <v>0</v>
      </c>
      <c r="BD14" s="219">
        <f t="shared" ca="1" si="37"/>
        <v>1</v>
      </c>
      <c r="BE14" s="303">
        <f ca="1">IF(B14="","",INDIRECT(ADDRESS(MATCH(B14,Soll_AZ,1)+MATCH("Arbeitszeit 1 ab",Voreinstellung_Übersicht!B:B,0)-1,4,,,"Voreinstellung_Übersicht"),TRUE))</f>
        <v>1.6666666666666665</v>
      </c>
      <c r="BF14" s="1">
        <f t="shared" si="42"/>
        <v>0</v>
      </c>
    </row>
    <row r="15" spans="1:58" s="1" customFormat="1" ht="15" x14ac:dyDescent="0.3">
      <c r="A15" s="218">
        <f t="shared" si="0"/>
        <v>15</v>
      </c>
      <c r="B15" s="47">
        <f t="shared" si="38"/>
        <v>42101</v>
      </c>
      <c r="C15" s="219">
        <f t="shared" si="1"/>
        <v>1</v>
      </c>
      <c r="D15" s="220" t="str">
        <f t="shared" si="2"/>
        <v/>
      </c>
      <c r="E15" s="298" t="str">
        <f t="shared" si="3"/>
        <v/>
      </c>
      <c r="F15" s="87">
        <f t="shared" si="4"/>
        <v>42101</v>
      </c>
      <c r="G15" s="147"/>
      <c r="H15" s="74"/>
      <c r="I15" s="75"/>
      <c r="J15" s="221">
        <f t="shared" si="5"/>
        <v>0</v>
      </c>
      <c r="K15" s="76"/>
      <c r="L15" s="221">
        <f t="shared" si="43"/>
        <v>0</v>
      </c>
      <c r="M15" s="74"/>
      <c r="N15" s="75"/>
      <c r="O15" s="221">
        <f t="shared" si="6"/>
        <v>0</v>
      </c>
      <c r="P15" s="76"/>
      <c r="Q15" s="221">
        <f t="shared" si="44"/>
        <v>0</v>
      </c>
      <c r="R15" s="221">
        <f t="shared" si="45"/>
        <v>0</v>
      </c>
      <c r="S15" s="221">
        <f t="shared" si="7"/>
        <v>0</v>
      </c>
      <c r="T15" s="79">
        <f t="shared" si="8"/>
        <v>0</v>
      </c>
      <c r="U15" s="79">
        <f t="shared" si="39"/>
        <v>0</v>
      </c>
      <c r="V15" s="80">
        <f t="shared" ca="1" si="9"/>
        <v>0.33333333329999998</v>
      </c>
      <c r="W15" s="249" t="str">
        <f t="shared" ca="1" si="10"/>
        <v/>
      </c>
      <c r="X15" s="293"/>
      <c r="Y15" s="221">
        <f t="shared" si="11"/>
        <v>0</v>
      </c>
      <c r="Z15" s="299">
        <f ca="1">IF(B15="","",INDIRECT(ADDRESS(MATCH(B15,Soll_AZ,1)+MATCH("Arbeitszeit 1 ab",Voreinstellung_Übersicht!B:B,0)-1,WEEKDAY(B15,2)+4,,,"Voreinstellung_Übersicht"),TRUE))</f>
        <v>0.33333333333333331</v>
      </c>
      <c r="AA15" s="300">
        <f t="shared" ca="1" si="40"/>
        <v>0</v>
      </c>
      <c r="AB15" s="219">
        <f t="shared" si="12"/>
        <v>0</v>
      </c>
      <c r="AC15" s="219">
        <f t="shared" si="13"/>
        <v>0</v>
      </c>
      <c r="AD15" s="219">
        <f t="shared" si="14"/>
        <v>0</v>
      </c>
      <c r="AE15" s="219">
        <f t="shared" si="15"/>
        <v>0</v>
      </c>
      <c r="AF15" s="219">
        <f t="shared" si="16"/>
        <v>0</v>
      </c>
      <c r="AG15" s="219">
        <f t="shared" si="17"/>
        <v>0</v>
      </c>
      <c r="AH15" s="219">
        <f t="shared" si="18"/>
        <v>0</v>
      </c>
      <c r="AI15" s="219">
        <f t="shared" si="19"/>
        <v>0</v>
      </c>
      <c r="AJ15" s="219">
        <f t="shared" si="20"/>
        <v>0</v>
      </c>
      <c r="AK15" s="219">
        <f t="shared" si="21"/>
        <v>0</v>
      </c>
      <c r="AL15" s="219">
        <f t="shared" si="22"/>
        <v>0</v>
      </c>
      <c r="AM15" s="219">
        <f t="shared" si="23"/>
        <v>0</v>
      </c>
      <c r="AN15" s="301">
        <f t="shared" si="24"/>
        <v>0</v>
      </c>
      <c r="AO15" s="301">
        <f t="shared" si="25"/>
        <v>0</v>
      </c>
      <c r="AP15" s="301">
        <f t="shared" si="26"/>
        <v>0</v>
      </c>
      <c r="AQ15" s="301">
        <f t="shared" si="27"/>
        <v>0</v>
      </c>
      <c r="AR15" s="301">
        <f t="shared" si="28"/>
        <v>0</v>
      </c>
      <c r="AS15" s="301">
        <f t="shared" si="29"/>
        <v>0</v>
      </c>
      <c r="AT15" s="302">
        <f t="shared" si="30"/>
        <v>0</v>
      </c>
      <c r="AU15" s="302">
        <f t="shared" si="31"/>
        <v>0</v>
      </c>
      <c r="AV15" s="81">
        <f t="shared" si="32"/>
        <v>0</v>
      </c>
      <c r="AW15" s="82">
        <f t="shared" si="33"/>
        <v>0</v>
      </c>
      <c r="AX15" s="81">
        <f t="shared" si="34"/>
        <v>0</v>
      </c>
      <c r="AY15" s="83">
        <f t="shared" si="35"/>
        <v>0</v>
      </c>
      <c r="AZ15" s="83">
        <f t="shared" si="36"/>
        <v>0</v>
      </c>
      <c r="BA15" s="82">
        <f>IF(OR(B15=Feiertage!$A$16,B15=Feiertage!$A$19),U15*Zuschläge_24_31/100,IF(AZ15&gt;0,AZ15*Feiertag_mit/100,IF(AX15&gt;0,AX15*Zuschläge_Sa/100,IF(AY15&gt;0,AY15*Zuschlag_So/100,0))))</f>
        <v>0</v>
      </c>
      <c r="BB15" s="82">
        <f>IF(AND(B15&lt;&gt;0,G15=Voreinstellung_Übersicht!$D$41),IF(EG=1,W15*Über_klein/100,IF(EG=2,W15*Über_groß/100,"Fehler")),0)</f>
        <v>0</v>
      </c>
      <c r="BC15" s="299">
        <f t="shared" ca="1" si="41"/>
        <v>0</v>
      </c>
      <c r="BD15" s="219">
        <f t="shared" ca="1" si="37"/>
        <v>1</v>
      </c>
      <c r="BE15" s="303">
        <f ca="1">IF(B15="","",INDIRECT(ADDRESS(MATCH(B15,Soll_AZ,1)+MATCH("Arbeitszeit 1 ab",Voreinstellung_Übersicht!B:B,0)-1,4,,,"Voreinstellung_Übersicht"),TRUE))</f>
        <v>1.6666666666666665</v>
      </c>
      <c r="BF15" s="1">
        <f t="shared" si="42"/>
        <v>0</v>
      </c>
    </row>
    <row r="16" spans="1:58" s="1" customFormat="1" ht="15" x14ac:dyDescent="0.3">
      <c r="A16" s="218">
        <f t="shared" si="0"/>
        <v>15</v>
      </c>
      <c r="B16" s="47">
        <f t="shared" si="38"/>
        <v>42102</v>
      </c>
      <c r="C16" s="219">
        <f t="shared" si="1"/>
        <v>1</v>
      </c>
      <c r="D16" s="220" t="str">
        <f t="shared" si="2"/>
        <v/>
      </c>
      <c r="E16" s="298" t="str">
        <f t="shared" si="3"/>
        <v/>
      </c>
      <c r="F16" s="87">
        <f t="shared" si="4"/>
        <v>42102</v>
      </c>
      <c r="G16" s="147"/>
      <c r="H16" s="74"/>
      <c r="I16" s="75"/>
      <c r="J16" s="221">
        <f t="shared" si="5"/>
        <v>0</v>
      </c>
      <c r="K16" s="76"/>
      <c r="L16" s="221">
        <f t="shared" si="43"/>
        <v>0</v>
      </c>
      <c r="M16" s="74"/>
      <c r="N16" s="75"/>
      <c r="O16" s="221">
        <f t="shared" si="6"/>
        <v>0</v>
      </c>
      <c r="P16" s="76"/>
      <c r="Q16" s="221">
        <f t="shared" si="44"/>
        <v>0</v>
      </c>
      <c r="R16" s="221">
        <f t="shared" si="45"/>
        <v>0</v>
      </c>
      <c r="S16" s="221">
        <f t="shared" si="7"/>
        <v>0</v>
      </c>
      <c r="T16" s="79">
        <f t="shared" si="8"/>
        <v>0</v>
      </c>
      <c r="U16" s="79">
        <f t="shared" si="39"/>
        <v>0</v>
      </c>
      <c r="V16" s="80">
        <f t="shared" ca="1" si="9"/>
        <v>0.33333333329999998</v>
      </c>
      <c r="W16" s="249" t="str">
        <f t="shared" ca="1" si="10"/>
        <v/>
      </c>
      <c r="X16" s="293"/>
      <c r="Y16" s="221">
        <f t="shared" si="11"/>
        <v>0</v>
      </c>
      <c r="Z16" s="299">
        <f ca="1">IF(B16="","",INDIRECT(ADDRESS(MATCH(B16,Soll_AZ,1)+MATCH("Arbeitszeit 1 ab",Voreinstellung_Übersicht!B:B,0)-1,WEEKDAY(B16,2)+4,,,"Voreinstellung_Übersicht"),TRUE))</f>
        <v>0.33333333333333331</v>
      </c>
      <c r="AA16" s="300">
        <f t="shared" ca="1" si="40"/>
        <v>0</v>
      </c>
      <c r="AB16" s="219">
        <f t="shared" si="12"/>
        <v>0</v>
      </c>
      <c r="AC16" s="219">
        <f t="shared" si="13"/>
        <v>0</v>
      </c>
      <c r="AD16" s="219">
        <f t="shared" si="14"/>
        <v>0</v>
      </c>
      <c r="AE16" s="219">
        <f t="shared" si="15"/>
        <v>0</v>
      </c>
      <c r="AF16" s="219">
        <f t="shared" si="16"/>
        <v>0</v>
      </c>
      <c r="AG16" s="219">
        <f t="shared" si="17"/>
        <v>0</v>
      </c>
      <c r="AH16" s="219">
        <f t="shared" si="18"/>
        <v>0</v>
      </c>
      <c r="AI16" s="219">
        <f t="shared" si="19"/>
        <v>0</v>
      </c>
      <c r="AJ16" s="219">
        <f t="shared" si="20"/>
        <v>0</v>
      </c>
      <c r="AK16" s="219">
        <f t="shared" si="21"/>
        <v>0</v>
      </c>
      <c r="AL16" s="219">
        <f t="shared" si="22"/>
        <v>0</v>
      </c>
      <c r="AM16" s="219">
        <f t="shared" si="23"/>
        <v>0</v>
      </c>
      <c r="AN16" s="301">
        <f t="shared" si="24"/>
        <v>0</v>
      </c>
      <c r="AO16" s="301">
        <f t="shared" si="25"/>
        <v>0</v>
      </c>
      <c r="AP16" s="301">
        <f t="shared" si="26"/>
        <v>0</v>
      </c>
      <c r="AQ16" s="301">
        <f t="shared" si="27"/>
        <v>0</v>
      </c>
      <c r="AR16" s="301">
        <f t="shared" si="28"/>
        <v>0</v>
      </c>
      <c r="AS16" s="301">
        <f t="shared" si="29"/>
        <v>0</v>
      </c>
      <c r="AT16" s="302">
        <f t="shared" si="30"/>
        <v>0</v>
      </c>
      <c r="AU16" s="302">
        <f t="shared" si="31"/>
        <v>0</v>
      </c>
      <c r="AV16" s="81">
        <f t="shared" si="32"/>
        <v>0</v>
      </c>
      <c r="AW16" s="82">
        <f t="shared" si="33"/>
        <v>0</v>
      </c>
      <c r="AX16" s="81">
        <f t="shared" si="34"/>
        <v>0</v>
      </c>
      <c r="AY16" s="83">
        <f t="shared" si="35"/>
        <v>0</v>
      </c>
      <c r="AZ16" s="83">
        <f t="shared" si="36"/>
        <v>0</v>
      </c>
      <c r="BA16" s="82">
        <f>IF(OR(B16=Feiertage!$A$16,B16=Feiertage!$A$19),U16*Zuschläge_24_31/100,IF(AZ16&gt;0,AZ16*Feiertag_mit/100,IF(AX16&gt;0,AX16*Zuschläge_Sa/100,IF(AY16&gt;0,AY16*Zuschlag_So/100,0))))</f>
        <v>0</v>
      </c>
      <c r="BB16" s="82">
        <f>IF(AND(B16&lt;&gt;0,G16=Voreinstellung_Übersicht!$D$41),IF(EG=1,W16*Über_klein/100,IF(EG=2,W16*Über_groß/100,"Fehler")),0)</f>
        <v>0</v>
      </c>
      <c r="BC16" s="299">
        <f t="shared" ca="1" si="41"/>
        <v>0</v>
      </c>
      <c r="BD16" s="219">
        <f t="shared" ca="1" si="37"/>
        <v>1</v>
      </c>
      <c r="BE16" s="303">
        <f ca="1">IF(B16="","",INDIRECT(ADDRESS(MATCH(B16,Soll_AZ,1)+MATCH("Arbeitszeit 1 ab",Voreinstellung_Übersicht!B:B,0)-1,4,,,"Voreinstellung_Übersicht"),TRUE))</f>
        <v>1.6666666666666665</v>
      </c>
      <c r="BF16" s="1">
        <f t="shared" si="42"/>
        <v>0</v>
      </c>
    </row>
    <row r="17" spans="1:58" s="1" customFormat="1" ht="15" x14ac:dyDescent="0.3">
      <c r="A17" s="218">
        <f t="shared" si="0"/>
        <v>15</v>
      </c>
      <c r="B17" s="47">
        <f t="shared" si="38"/>
        <v>42103</v>
      </c>
      <c r="C17" s="219">
        <f t="shared" si="1"/>
        <v>1</v>
      </c>
      <c r="D17" s="220" t="str">
        <f t="shared" si="2"/>
        <v/>
      </c>
      <c r="E17" s="298" t="str">
        <f t="shared" si="3"/>
        <v/>
      </c>
      <c r="F17" s="87">
        <f t="shared" si="4"/>
        <v>42103</v>
      </c>
      <c r="G17" s="147"/>
      <c r="H17" s="74"/>
      <c r="I17" s="75"/>
      <c r="J17" s="221">
        <f t="shared" si="5"/>
        <v>0</v>
      </c>
      <c r="K17" s="76"/>
      <c r="L17" s="221">
        <f t="shared" si="43"/>
        <v>0</v>
      </c>
      <c r="M17" s="74"/>
      <c r="N17" s="75"/>
      <c r="O17" s="221">
        <f t="shared" si="6"/>
        <v>0</v>
      </c>
      <c r="P17" s="76"/>
      <c r="Q17" s="221">
        <f t="shared" si="44"/>
        <v>0</v>
      </c>
      <c r="R17" s="221">
        <f t="shared" si="45"/>
        <v>0</v>
      </c>
      <c r="S17" s="221">
        <f t="shared" si="7"/>
        <v>0</v>
      </c>
      <c r="T17" s="79">
        <f t="shared" si="8"/>
        <v>0</v>
      </c>
      <c r="U17" s="79">
        <f t="shared" si="39"/>
        <v>0</v>
      </c>
      <c r="V17" s="80">
        <f t="shared" ca="1" si="9"/>
        <v>0.33333333329999998</v>
      </c>
      <c r="W17" s="249" t="str">
        <f t="shared" ca="1" si="10"/>
        <v/>
      </c>
      <c r="X17" s="293"/>
      <c r="Y17" s="221">
        <f t="shared" si="11"/>
        <v>0</v>
      </c>
      <c r="Z17" s="299">
        <f ca="1">IF(B17="","",INDIRECT(ADDRESS(MATCH(B17,Soll_AZ,1)+MATCH("Arbeitszeit 1 ab",Voreinstellung_Übersicht!B:B,0)-1,WEEKDAY(B17,2)+4,,,"Voreinstellung_Übersicht"),TRUE))</f>
        <v>0.33333333333333331</v>
      </c>
      <c r="AA17" s="300">
        <f t="shared" ca="1" si="40"/>
        <v>0</v>
      </c>
      <c r="AB17" s="219">
        <f t="shared" si="12"/>
        <v>0</v>
      </c>
      <c r="AC17" s="219">
        <f t="shared" si="13"/>
        <v>0</v>
      </c>
      <c r="AD17" s="219">
        <f t="shared" si="14"/>
        <v>0</v>
      </c>
      <c r="AE17" s="219">
        <f t="shared" si="15"/>
        <v>0</v>
      </c>
      <c r="AF17" s="219">
        <f t="shared" si="16"/>
        <v>0</v>
      </c>
      <c r="AG17" s="219">
        <f t="shared" si="17"/>
        <v>0</v>
      </c>
      <c r="AH17" s="219">
        <f t="shared" si="18"/>
        <v>0</v>
      </c>
      <c r="AI17" s="219">
        <f t="shared" si="19"/>
        <v>0</v>
      </c>
      <c r="AJ17" s="219">
        <f t="shared" si="20"/>
        <v>0</v>
      </c>
      <c r="AK17" s="219">
        <f t="shared" si="21"/>
        <v>0</v>
      </c>
      <c r="AL17" s="219">
        <f t="shared" si="22"/>
        <v>0</v>
      </c>
      <c r="AM17" s="219">
        <f t="shared" si="23"/>
        <v>0</v>
      </c>
      <c r="AN17" s="301">
        <f t="shared" si="24"/>
        <v>0</v>
      </c>
      <c r="AO17" s="301">
        <f t="shared" si="25"/>
        <v>0</v>
      </c>
      <c r="AP17" s="301">
        <f t="shared" si="26"/>
        <v>0</v>
      </c>
      <c r="AQ17" s="301">
        <f t="shared" si="27"/>
        <v>0</v>
      </c>
      <c r="AR17" s="301">
        <f t="shared" si="28"/>
        <v>0</v>
      </c>
      <c r="AS17" s="301">
        <f t="shared" si="29"/>
        <v>0</v>
      </c>
      <c r="AT17" s="302">
        <f t="shared" si="30"/>
        <v>0</v>
      </c>
      <c r="AU17" s="302">
        <f t="shared" si="31"/>
        <v>0</v>
      </c>
      <c r="AV17" s="81">
        <f t="shared" si="32"/>
        <v>0</v>
      </c>
      <c r="AW17" s="82">
        <f t="shared" si="33"/>
        <v>0</v>
      </c>
      <c r="AX17" s="81">
        <f t="shared" si="34"/>
        <v>0</v>
      </c>
      <c r="AY17" s="83">
        <f t="shared" si="35"/>
        <v>0</v>
      </c>
      <c r="AZ17" s="83">
        <f t="shared" si="36"/>
        <v>0</v>
      </c>
      <c r="BA17" s="82">
        <f>IF(OR(B17=Feiertage!$A$16,B17=Feiertage!$A$19),U17*Zuschläge_24_31/100,IF(AZ17&gt;0,AZ17*Feiertag_mit/100,IF(AX17&gt;0,AX17*Zuschläge_Sa/100,IF(AY17&gt;0,AY17*Zuschlag_So/100,0))))</f>
        <v>0</v>
      </c>
      <c r="BB17" s="82">
        <f>IF(AND(B17&lt;&gt;0,G17=Voreinstellung_Übersicht!$D$41),IF(EG=1,W17*Über_klein/100,IF(EG=2,W17*Über_groß/100,"Fehler")),0)</f>
        <v>0</v>
      </c>
      <c r="BC17" s="299">
        <f t="shared" ca="1" si="41"/>
        <v>0</v>
      </c>
      <c r="BD17" s="219">
        <f t="shared" ca="1" si="37"/>
        <v>1</v>
      </c>
      <c r="BE17" s="303">
        <f ca="1">IF(B17="","",INDIRECT(ADDRESS(MATCH(B17,Soll_AZ,1)+MATCH("Arbeitszeit 1 ab",Voreinstellung_Übersicht!B:B,0)-1,4,,,"Voreinstellung_Übersicht"),TRUE))</f>
        <v>1.6666666666666665</v>
      </c>
      <c r="BF17" s="1">
        <f t="shared" si="42"/>
        <v>0</v>
      </c>
    </row>
    <row r="18" spans="1:58" s="1" customFormat="1" ht="15" x14ac:dyDescent="0.3">
      <c r="A18" s="218">
        <f t="shared" si="0"/>
        <v>15</v>
      </c>
      <c r="B18" s="47">
        <f t="shared" si="38"/>
        <v>42104</v>
      </c>
      <c r="C18" s="219">
        <f t="shared" si="1"/>
        <v>1</v>
      </c>
      <c r="D18" s="220" t="str">
        <f t="shared" si="2"/>
        <v/>
      </c>
      <c r="E18" s="298" t="str">
        <f t="shared" si="3"/>
        <v/>
      </c>
      <c r="F18" s="87">
        <f t="shared" si="4"/>
        <v>42104</v>
      </c>
      <c r="G18" s="147"/>
      <c r="H18" s="74"/>
      <c r="I18" s="75"/>
      <c r="J18" s="221">
        <f t="shared" si="5"/>
        <v>0</v>
      </c>
      <c r="K18" s="76"/>
      <c r="L18" s="221">
        <f t="shared" si="43"/>
        <v>0</v>
      </c>
      <c r="M18" s="74"/>
      <c r="N18" s="75"/>
      <c r="O18" s="221">
        <f t="shared" si="6"/>
        <v>0</v>
      </c>
      <c r="P18" s="76"/>
      <c r="Q18" s="221">
        <f t="shared" si="44"/>
        <v>0</v>
      </c>
      <c r="R18" s="221">
        <f t="shared" si="45"/>
        <v>0</v>
      </c>
      <c r="S18" s="221">
        <f t="shared" si="7"/>
        <v>0</v>
      </c>
      <c r="T18" s="79">
        <f t="shared" si="8"/>
        <v>0</v>
      </c>
      <c r="U18" s="79">
        <f t="shared" si="39"/>
        <v>0</v>
      </c>
      <c r="V18" s="80">
        <f t="shared" ca="1" si="9"/>
        <v>0.33333333329999998</v>
      </c>
      <c r="W18" s="249" t="str">
        <f t="shared" ca="1" si="10"/>
        <v/>
      </c>
      <c r="X18" s="293"/>
      <c r="Y18" s="221">
        <f t="shared" si="11"/>
        <v>0</v>
      </c>
      <c r="Z18" s="299">
        <f ca="1">IF(B18="","",INDIRECT(ADDRESS(MATCH(B18,Soll_AZ,1)+MATCH("Arbeitszeit 1 ab",Voreinstellung_Übersicht!B:B,0)-1,WEEKDAY(B18,2)+4,,,"Voreinstellung_Übersicht"),TRUE))</f>
        <v>0.33333333333333331</v>
      </c>
      <c r="AA18" s="300">
        <f t="shared" ca="1" si="40"/>
        <v>0</v>
      </c>
      <c r="AB18" s="219">
        <f t="shared" si="12"/>
        <v>0</v>
      </c>
      <c r="AC18" s="219">
        <f t="shared" si="13"/>
        <v>0</v>
      </c>
      <c r="AD18" s="219">
        <f t="shared" si="14"/>
        <v>0</v>
      </c>
      <c r="AE18" s="219">
        <f t="shared" si="15"/>
        <v>0</v>
      </c>
      <c r="AF18" s="219">
        <f t="shared" si="16"/>
        <v>0</v>
      </c>
      <c r="AG18" s="219">
        <f t="shared" si="17"/>
        <v>0</v>
      </c>
      <c r="AH18" s="219">
        <f t="shared" si="18"/>
        <v>0</v>
      </c>
      <c r="AI18" s="219">
        <f t="shared" si="19"/>
        <v>0</v>
      </c>
      <c r="AJ18" s="219">
        <f t="shared" si="20"/>
        <v>0</v>
      </c>
      <c r="AK18" s="219">
        <f t="shared" si="21"/>
        <v>0</v>
      </c>
      <c r="AL18" s="219">
        <f t="shared" si="22"/>
        <v>0</v>
      </c>
      <c r="AM18" s="219">
        <f t="shared" si="23"/>
        <v>0</v>
      </c>
      <c r="AN18" s="301">
        <f t="shared" si="24"/>
        <v>0</v>
      </c>
      <c r="AO18" s="301">
        <f t="shared" si="25"/>
        <v>0</v>
      </c>
      <c r="AP18" s="301">
        <f t="shared" si="26"/>
        <v>0</v>
      </c>
      <c r="AQ18" s="301">
        <f t="shared" si="27"/>
        <v>0</v>
      </c>
      <c r="AR18" s="301">
        <f t="shared" si="28"/>
        <v>0</v>
      </c>
      <c r="AS18" s="301">
        <f t="shared" si="29"/>
        <v>0</v>
      </c>
      <c r="AT18" s="302">
        <f t="shared" si="30"/>
        <v>0</v>
      </c>
      <c r="AU18" s="302">
        <f t="shared" si="31"/>
        <v>0</v>
      </c>
      <c r="AV18" s="81">
        <f t="shared" si="32"/>
        <v>0</v>
      </c>
      <c r="AW18" s="82">
        <f t="shared" si="33"/>
        <v>0</v>
      </c>
      <c r="AX18" s="81">
        <f t="shared" si="34"/>
        <v>0</v>
      </c>
      <c r="AY18" s="83">
        <f t="shared" si="35"/>
        <v>0</v>
      </c>
      <c r="AZ18" s="83">
        <f t="shared" si="36"/>
        <v>0</v>
      </c>
      <c r="BA18" s="82">
        <f>IF(OR(B18=Feiertage!$A$16,B18=Feiertage!$A$19),U18*Zuschläge_24_31/100,IF(AZ18&gt;0,AZ18*Feiertag_mit/100,IF(AX18&gt;0,AX18*Zuschläge_Sa/100,IF(AY18&gt;0,AY18*Zuschlag_So/100,0))))</f>
        <v>0</v>
      </c>
      <c r="BB18" s="82">
        <f>IF(AND(B18&lt;&gt;0,G18=Voreinstellung_Übersicht!$D$41),IF(EG=1,W18*Über_klein/100,IF(EG=2,W18*Über_groß/100,"Fehler")),0)</f>
        <v>0</v>
      </c>
      <c r="BC18" s="299">
        <f t="shared" ca="1" si="41"/>
        <v>0</v>
      </c>
      <c r="BD18" s="219">
        <f t="shared" ca="1" si="37"/>
        <v>1</v>
      </c>
      <c r="BE18" s="303">
        <f ca="1">IF(B18="","",INDIRECT(ADDRESS(MATCH(B18,Soll_AZ,1)+MATCH("Arbeitszeit 1 ab",Voreinstellung_Übersicht!B:B,0)-1,4,,,"Voreinstellung_Übersicht"),TRUE))</f>
        <v>1.6666666666666665</v>
      </c>
      <c r="BF18" s="1">
        <f t="shared" si="42"/>
        <v>0</v>
      </c>
    </row>
    <row r="19" spans="1:58" s="1" customFormat="1" ht="15" x14ac:dyDescent="0.3">
      <c r="A19" s="218">
        <f t="shared" si="0"/>
        <v>15</v>
      </c>
      <c r="B19" s="47">
        <f t="shared" si="38"/>
        <v>42105</v>
      </c>
      <c r="C19" s="219">
        <f t="shared" si="1"/>
        <v>1</v>
      </c>
      <c r="D19" s="220" t="str">
        <f t="shared" si="2"/>
        <v/>
      </c>
      <c r="E19" s="298" t="str">
        <f t="shared" si="3"/>
        <v/>
      </c>
      <c r="F19" s="87">
        <f t="shared" si="4"/>
        <v>42105</v>
      </c>
      <c r="G19" s="147"/>
      <c r="H19" s="74"/>
      <c r="I19" s="75"/>
      <c r="J19" s="221">
        <f t="shared" si="5"/>
        <v>0</v>
      </c>
      <c r="K19" s="76"/>
      <c r="L19" s="221">
        <f t="shared" si="43"/>
        <v>0</v>
      </c>
      <c r="M19" s="74"/>
      <c r="N19" s="75"/>
      <c r="O19" s="221">
        <f t="shared" si="6"/>
        <v>0</v>
      </c>
      <c r="P19" s="76"/>
      <c r="Q19" s="221">
        <f t="shared" si="44"/>
        <v>0</v>
      </c>
      <c r="R19" s="221">
        <f t="shared" si="45"/>
        <v>0</v>
      </c>
      <c r="S19" s="221">
        <f t="shared" si="7"/>
        <v>0</v>
      </c>
      <c r="T19" s="79">
        <f t="shared" si="8"/>
        <v>0</v>
      </c>
      <c r="U19" s="79">
        <f t="shared" si="39"/>
        <v>0</v>
      </c>
      <c r="V19" s="80">
        <f t="shared" ca="1" si="9"/>
        <v>0.33333333329999998</v>
      </c>
      <c r="W19" s="249" t="str">
        <f t="shared" ca="1" si="10"/>
        <v/>
      </c>
      <c r="X19" s="293"/>
      <c r="Y19" s="221">
        <f t="shared" si="11"/>
        <v>0</v>
      </c>
      <c r="Z19" s="299">
        <f ca="1">IF(B19="","",INDIRECT(ADDRESS(MATCH(B19,Soll_AZ,1)+MATCH("Arbeitszeit 1 ab",Voreinstellung_Übersicht!B:B,0)-1,WEEKDAY(B19,2)+4,,,"Voreinstellung_Übersicht"),TRUE))</f>
        <v>0.33333333333333331</v>
      </c>
      <c r="AA19" s="300">
        <f t="shared" ca="1" si="40"/>
        <v>0</v>
      </c>
      <c r="AB19" s="219">
        <f t="shared" si="12"/>
        <v>0</v>
      </c>
      <c r="AC19" s="219">
        <f t="shared" si="13"/>
        <v>0</v>
      </c>
      <c r="AD19" s="219">
        <f t="shared" si="14"/>
        <v>0</v>
      </c>
      <c r="AE19" s="219">
        <f t="shared" si="15"/>
        <v>0</v>
      </c>
      <c r="AF19" s="219">
        <f t="shared" si="16"/>
        <v>0</v>
      </c>
      <c r="AG19" s="219">
        <f t="shared" si="17"/>
        <v>0</v>
      </c>
      <c r="AH19" s="219">
        <f t="shared" si="18"/>
        <v>0</v>
      </c>
      <c r="AI19" s="219">
        <f t="shared" si="19"/>
        <v>0</v>
      </c>
      <c r="AJ19" s="219">
        <f t="shared" si="20"/>
        <v>0</v>
      </c>
      <c r="AK19" s="219">
        <f t="shared" si="21"/>
        <v>0</v>
      </c>
      <c r="AL19" s="219">
        <f t="shared" si="22"/>
        <v>0</v>
      </c>
      <c r="AM19" s="219">
        <f t="shared" si="23"/>
        <v>0</v>
      </c>
      <c r="AN19" s="301">
        <f t="shared" si="24"/>
        <v>0</v>
      </c>
      <c r="AO19" s="301">
        <f t="shared" si="25"/>
        <v>0</v>
      </c>
      <c r="AP19" s="301">
        <f t="shared" si="26"/>
        <v>0</v>
      </c>
      <c r="AQ19" s="301">
        <f t="shared" si="27"/>
        <v>0</v>
      </c>
      <c r="AR19" s="301">
        <f t="shared" si="28"/>
        <v>0</v>
      </c>
      <c r="AS19" s="301">
        <f t="shared" si="29"/>
        <v>0</v>
      </c>
      <c r="AT19" s="302">
        <f t="shared" si="30"/>
        <v>0</v>
      </c>
      <c r="AU19" s="302">
        <f t="shared" si="31"/>
        <v>0</v>
      </c>
      <c r="AV19" s="81">
        <f t="shared" si="32"/>
        <v>0</v>
      </c>
      <c r="AW19" s="82">
        <f t="shared" si="33"/>
        <v>0</v>
      </c>
      <c r="AX19" s="81">
        <f t="shared" si="34"/>
        <v>0</v>
      </c>
      <c r="AY19" s="83">
        <f t="shared" si="35"/>
        <v>0</v>
      </c>
      <c r="AZ19" s="83">
        <f t="shared" si="36"/>
        <v>0</v>
      </c>
      <c r="BA19" s="82">
        <f>IF(OR(B19=Feiertage!$A$16,B19=Feiertage!$A$19),U19*Zuschläge_24_31/100,IF(AZ19&gt;0,AZ19*Feiertag_mit/100,IF(AX19&gt;0,AX19*Zuschläge_Sa/100,IF(AY19&gt;0,AY19*Zuschlag_So/100,0))))</f>
        <v>0</v>
      </c>
      <c r="BB19" s="82">
        <f>IF(AND(B19&lt;&gt;0,G19=Voreinstellung_Übersicht!$D$41),IF(EG=1,W19*Über_klein/100,IF(EG=2,W19*Über_groß/100,"Fehler")),0)</f>
        <v>0</v>
      </c>
      <c r="BC19" s="299">
        <f t="shared" ca="1" si="41"/>
        <v>0</v>
      </c>
      <c r="BD19" s="219">
        <f t="shared" ca="1" si="37"/>
        <v>1</v>
      </c>
      <c r="BE19" s="303">
        <f ca="1">IF(B19="","",INDIRECT(ADDRESS(MATCH(B19,Soll_AZ,1)+MATCH("Arbeitszeit 1 ab",Voreinstellung_Übersicht!B:B,0)-1,4,,,"Voreinstellung_Übersicht"),TRUE))</f>
        <v>1.6666666666666665</v>
      </c>
      <c r="BF19" s="1">
        <f t="shared" si="42"/>
        <v>0</v>
      </c>
    </row>
    <row r="20" spans="1:58" s="1" customFormat="1" ht="15" x14ac:dyDescent="0.3">
      <c r="A20" s="218">
        <f t="shared" si="0"/>
        <v>15</v>
      </c>
      <c r="B20" s="47">
        <f t="shared" si="38"/>
        <v>42106</v>
      </c>
      <c r="C20" s="219">
        <f t="shared" si="1"/>
        <v>0</v>
      </c>
      <c r="D20" s="220" t="str">
        <f t="shared" si="2"/>
        <v/>
      </c>
      <c r="E20" s="298" t="str">
        <f t="shared" si="3"/>
        <v/>
      </c>
      <c r="F20" s="87">
        <f t="shared" si="4"/>
        <v>42106</v>
      </c>
      <c r="G20" s="147"/>
      <c r="H20" s="74"/>
      <c r="I20" s="75"/>
      <c r="J20" s="221">
        <f t="shared" si="5"/>
        <v>0</v>
      </c>
      <c r="K20" s="76"/>
      <c r="L20" s="221">
        <f t="shared" si="43"/>
        <v>0</v>
      </c>
      <c r="M20" s="74"/>
      <c r="N20" s="75"/>
      <c r="O20" s="221">
        <f t="shared" si="6"/>
        <v>0</v>
      </c>
      <c r="P20" s="76"/>
      <c r="Q20" s="221">
        <f t="shared" si="44"/>
        <v>0</v>
      </c>
      <c r="R20" s="221">
        <f t="shared" si="45"/>
        <v>0</v>
      </c>
      <c r="S20" s="221">
        <f t="shared" si="7"/>
        <v>0</v>
      </c>
      <c r="T20" s="79">
        <f t="shared" si="8"/>
        <v>0</v>
      </c>
      <c r="U20" s="79">
        <f t="shared" si="39"/>
        <v>0</v>
      </c>
      <c r="V20" s="80">
        <f t="shared" ca="1" si="9"/>
        <v>0</v>
      </c>
      <c r="W20" s="249" t="str">
        <f t="shared" ca="1" si="10"/>
        <v/>
      </c>
      <c r="X20" s="293"/>
      <c r="Y20" s="221">
        <f t="shared" si="11"/>
        <v>0</v>
      </c>
      <c r="Z20" s="299">
        <f ca="1">IF(B20="","",INDIRECT(ADDRESS(MATCH(B20,Soll_AZ,1)+MATCH("Arbeitszeit 1 ab",Voreinstellung_Übersicht!B:B,0)-1,WEEKDAY(B20,2)+4,,,"Voreinstellung_Übersicht"),TRUE))</f>
        <v>0</v>
      </c>
      <c r="AA20" s="300">
        <f t="shared" ca="1" si="40"/>
        <v>0</v>
      </c>
      <c r="AB20" s="219">
        <f t="shared" si="12"/>
        <v>0</v>
      </c>
      <c r="AC20" s="219">
        <f t="shared" si="13"/>
        <v>0</v>
      </c>
      <c r="AD20" s="219">
        <f t="shared" si="14"/>
        <v>0</v>
      </c>
      <c r="AE20" s="219">
        <f t="shared" si="15"/>
        <v>0</v>
      </c>
      <c r="AF20" s="219">
        <f t="shared" si="16"/>
        <v>0</v>
      </c>
      <c r="AG20" s="219">
        <f t="shared" si="17"/>
        <v>0</v>
      </c>
      <c r="AH20" s="219">
        <f t="shared" si="18"/>
        <v>0</v>
      </c>
      <c r="AI20" s="219">
        <f t="shared" si="19"/>
        <v>0</v>
      </c>
      <c r="AJ20" s="219">
        <f t="shared" si="20"/>
        <v>0</v>
      </c>
      <c r="AK20" s="219">
        <f t="shared" si="21"/>
        <v>0</v>
      </c>
      <c r="AL20" s="219">
        <f t="shared" si="22"/>
        <v>0</v>
      </c>
      <c r="AM20" s="219">
        <f t="shared" si="23"/>
        <v>0</v>
      </c>
      <c r="AN20" s="301">
        <f t="shared" si="24"/>
        <v>0</v>
      </c>
      <c r="AO20" s="301">
        <f t="shared" si="25"/>
        <v>0</v>
      </c>
      <c r="AP20" s="301">
        <f t="shared" si="26"/>
        <v>0</v>
      </c>
      <c r="AQ20" s="301">
        <f t="shared" si="27"/>
        <v>0</v>
      </c>
      <c r="AR20" s="301">
        <f t="shared" si="28"/>
        <v>0</v>
      </c>
      <c r="AS20" s="301">
        <f t="shared" si="29"/>
        <v>0</v>
      </c>
      <c r="AT20" s="302">
        <f t="shared" si="30"/>
        <v>0</v>
      </c>
      <c r="AU20" s="302">
        <f t="shared" si="31"/>
        <v>0</v>
      </c>
      <c r="AV20" s="81">
        <f t="shared" si="32"/>
        <v>0</v>
      </c>
      <c r="AW20" s="82">
        <f t="shared" si="33"/>
        <v>0</v>
      </c>
      <c r="AX20" s="81">
        <f t="shared" si="34"/>
        <v>0</v>
      </c>
      <c r="AY20" s="83">
        <f t="shared" si="35"/>
        <v>0</v>
      </c>
      <c r="AZ20" s="83">
        <f t="shared" si="36"/>
        <v>0</v>
      </c>
      <c r="BA20" s="82">
        <f>IF(OR(B20=Feiertage!$A$16,B20=Feiertage!$A$19),U20*Zuschläge_24_31/100,IF(AZ20&gt;0,AZ20*Feiertag_mit/100,IF(AX20&gt;0,AX20*Zuschläge_Sa/100,IF(AY20&gt;0,AY20*Zuschlag_So/100,0))))</f>
        <v>0</v>
      </c>
      <c r="BB20" s="82">
        <f>IF(AND(B20&lt;&gt;0,G20=Voreinstellung_Übersicht!$D$41),IF(EG=1,W20*Über_klein/100,IF(EG=2,W20*Über_groß/100,"Fehler")),0)</f>
        <v>0</v>
      </c>
      <c r="BC20" s="299">
        <f t="shared" ca="1" si="41"/>
        <v>0</v>
      </c>
      <c r="BD20" s="219">
        <f t="shared" ca="1" si="37"/>
        <v>1</v>
      </c>
      <c r="BE20" s="303">
        <f ca="1">IF(B20="","",INDIRECT(ADDRESS(MATCH(B20,Soll_AZ,1)+MATCH("Arbeitszeit 1 ab",Voreinstellung_Übersicht!B:B,0)-1,4,,,"Voreinstellung_Übersicht"),TRUE))</f>
        <v>1.6666666666666665</v>
      </c>
      <c r="BF20" s="1">
        <f t="shared" si="42"/>
        <v>0</v>
      </c>
    </row>
    <row r="21" spans="1:58" s="1" customFormat="1" ht="15" x14ac:dyDescent="0.3">
      <c r="A21" s="218">
        <f t="shared" si="0"/>
        <v>16</v>
      </c>
      <c r="B21" s="47">
        <f t="shared" si="38"/>
        <v>42107</v>
      </c>
      <c r="C21" s="219">
        <f t="shared" si="1"/>
        <v>0</v>
      </c>
      <c r="D21" s="220" t="str">
        <f t="shared" si="2"/>
        <v/>
      </c>
      <c r="E21" s="298" t="str">
        <f t="shared" si="3"/>
        <v/>
      </c>
      <c r="F21" s="87">
        <f t="shared" si="4"/>
        <v>42107</v>
      </c>
      <c r="G21" s="147"/>
      <c r="H21" s="74"/>
      <c r="I21" s="75"/>
      <c r="J21" s="221">
        <f t="shared" si="5"/>
        <v>0</v>
      </c>
      <c r="K21" s="76"/>
      <c r="L21" s="221">
        <f t="shared" si="43"/>
        <v>0</v>
      </c>
      <c r="M21" s="74"/>
      <c r="N21" s="75"/>
      <c r="O21" s="221">
        <f t="shared" si="6"/>
        <v>0</v>
      </c>
      <c r="P21" s="76"/>
      <c r="Q21" s="221">
        <f t="shared" si="44"/>
        <v>0</v>
      </c>
      <c r="R21" s="221">
        <f t="shared" si="45"/>
        <v>0</v>
      </c>
      <c r="S21" s="221">
        <f t="shared" si="7"/>
        <v>0</v>
      </c>
      <c r="T21" s="79">
        <f t="shared" si="8"/>
        <v>0</v>
      </c>
      <c r="U21" s="79">
        <f t="shared" si="39"/>
        <v>0</v>
      </c>
      <c r="V21" s="80">
        <f t="shared" ca="1" si="9"/>
        <v>0</v>
      </c>
      <c r="W21" s="249" t="str">
        <f t="shared" ca="1" si="10"/>
        <v/>
      </c>
      <c r="X21" s="293"/>
      <c r="Y21" s="221">
        <f t="shared" si="11"/>
        <v>0</v>
      </c>
      <c r="Z21" s="299">
        <f ca="1">IF(B21="","",INDIRECT(ADDRESS(MATCH(B21,Soll_AZ,1)+MATCH("Arbeitszeit 1 ab",Voreinstellung_Übersicht!B:B,0)-1,WEEKDAY(B21,2)+4,,,"Voreinstellung_Übersicht"),TRUE))</f>
        <v>0</v>
      </c>
      <c r="AA21" s="300">
        <f t="shared" ca="1" si="40"/>
        <v>0</v>
      </c>
      <c r="AB21" s="219">
        <f t="shared" si="12"/>
        <v>0</v>
      </c>
      <c r="AC21" s="219">
        <f t="shared" si="13"/>
        <v>0</v>
      </c>
      <c r="AD21" s="219">
        <f t="shared" si="14"/>
        <v>0</v>
      </c>
      <c r="AE21" s="219">
        <f t="shared" si="15"/>
        <v>0</v>
      </c>
      <c r="AF21" s="219">
        <f t="shared" si="16"/>
        <v>0</v>
      </c>
      <c r="AG21" s="219">
        <f t="shared" si="17"/>
        <v>0</v>
      </c>
      <c r="AH21" s="219">
        <f t="shared" si="18"/>
        <v>0</v>
      </c>
      <c r="AI21" s="219">
        <f t="shared" si="19"/>
        <v>0</v>
      </c>
      <c r="AJ21" s="219">
        <f t="shared" si="20"/>
        <v>0</v>
      </c>
      <c r="AK21" s="219">
        <f t="shared" si="21"/>
        <v>0</v>
      </c>
      <c r="AL21" s="219">
        <f t="shared" si="22"/>
        <v>0</v>
      </c>
      <c r="AM21" s="219">
        <f t="shared" si="23"/>
        <v>0</v>
      </c>
      <c r="AN21" s="301">
        <f t="shared" si="24"/>
        <v>0</v>
      </c>
      <c r="AO21" s="301">
        <f t="shared" si="25"/>
        <v>0</v>
      </c>
      <c r="AP21" s="301">
        <f t="shared" si="26"/>
        <v>0</v>
      </c>
      <c r="AQ21" s="301">
        <f t="shared" si="27"/>
        <v>0</v>
      </c>
      <c r="AR21" s="301">
        <f t="shared" si="28"/>
        <v>0</v>
      </c>
      <c r="AS21" s="301">
        <f t="shared" si="29"/>
        <v>0</v>
      </c>
      <c r="AT21" s="302">
        <f t="shared" si="30"/>
        <v>0</v>
      </c>
      <c r="AU21" s="302">
        <f t="shared" si="31"/>
        <v>0</v>
      </c>
      <c r="AV21" s="81">
        <f t="shared" si="32"/>
        <v>0</v>
      </c>
      <c r="AW21" s="82">
        <f t="shared" si="33"/>
        <v>0</v>
      </c>
      <c r="AX21" s="81">
        <f t="shared" si="34"/>
        <v>0</v>
      </c>
      <c r="AY21" s="83">
        <f t="shared" si="35"/>
        <v>0</v>
      </c>
      <c r="AZ21" s="83">
        <f t="shared" si="36"/>
        <v>0</v>
      </c>
      <c r="BA21" s="82">
        <f>IF(OR(B21=Feiertage!$A$16,B21=Feiertage!$A$19),U21*Zuschläge_24_31/100,IF(AZ21&gt;0,AZ21*Feiertag_mit/100,IF(AX21&gt;0,AX21*Zuschläge_Sa/100,IF(AY21&gt;0,AY21*Zuschlag_So/100,0))))</f>
        <v>0</v>
      </c>
      <c r="BB21" s="82">
        <f>IF(AND(B21&lt;&gt;0,G21=Voreinstellung_Übersicht!$D$41),IF(EG=1,W21*Über_klein/100,IF(EG=2,W21*Über_groß/100,"Fehler")),0)</f>
        <v>0</v>
      </c>
      <c r="BC21" s="299">
        <f t="shared" ca="1" si="41"/>
        <v>0</v>
      </c>
      <c r="BD21" s="219">
        <f t="shared" ca="1" si="37"/>
        <v>1</v>
      </c>
      <c r="BE21" s="303">
        <f ca="1">IF(B21="","",INDIRECT(ADDRESS(MATCH(B21,Soll_AZ,1)+MATCH("Arbeitszeit 1 ab",Voreinstellung_Übersicht!B:B,0)-1,4,,,"Voreinstellung_Übersicht"),TRUE))</f>
        <v>1.6666666666666665</v>
      </c>
      <c r="BF21" s="1">
        <f t="shared" si="42"/>
        <v>0</v>
      </c>
    </row>
    <row r="22" spans="1:58" s="1" customFormat="1" ht="15" x14ac:dyDescent="0.3">
      <c r="A22" s="218">
        <f t="shared" si="0"/>
        <v>16</v>
      </c>
      <c r="B22" s="47">
        <f t="shared" si="38"/>
        <v>42108</v>
      </c>
      <c r="C22" s="219">
        <f t="shared" si="1"/>
        <v>1</v>
      </c>
      <c r="D22" s="220" t="str">
        <f t="shared" si="2"/>
        <v/>
      </c>
      <c r="E22" s="298" t="str">
        <f t="shared" si="3"/>
        <v/>
      </c>
      <c r="F22" s="87">
        <f t="shared" si="4"/>
        <v>42108</v>
      </c>
      <c r="G22" s="147"/>
      <c r="H22" s="74"/>
      <c r="I22" s="75"/>
      <c r="J22" s="221">
        <f t="shared" si="5"/>
        <v>0</v>
      </c>
      <c r="K22" s="76"/>
      <c r="L22" s="221">
        <f t="shared" si="43"/>
        <v>0</v>
      </c>
      <c r="M22" s="74"/>
      <c r="N22" s="75"/>
      <c r="O22" s="221">
        <f t="shared" si="6"/>
        <v>0</v>
      </c>
      <c r="P22" s="76"/>
      <c r="Q22" s="221">
        <f t="shared" si="44"/>
        <v>0</v>
      </c>
      <c r="R22" s="221">
        <f t="shared" si="45"/>
        <v>0</v>
      </c>
      <c r="S22" s="221">
        <f t="shared" si="7"/>
        <v>0</v>
      </c>
      <c r="T22" s="79">
        <f t="shared" si="8"/>
        <v>0</v>
      </c>
      <c r="U22" s="79">
        <f t="shared" si="39"/>
        <v>0</v>
      </c>
      <c r="V22" s="80">
        <f t="shared" ca="1" si="9"/>
        <v>0.33333333329999998</v>
      </c>
      <c r="W22" s="249" t="str">
        <f t="shared" ca="1" si="10"/>
        <v/>
      </c>
      <c r="X22" s="293"/>
      <c r="Y22" s="221">
        <f t="shared" si="11"/>
        <v>0</v>
      </c>
      <c r="Z22" s="299">
        <f ca="1">IF(B22="","",INDIRECT(ADDRESS(MATCH(B22,Soll_AZ,1)+MATCH("Arbeitszeit 1 ab",Voreinstellung_Übersicht!B:B,0)-1,WEEKDAY(B22,2)+4,,,"Voreinstellung_Übersicht"),TRUE))</f>
        <v>0.33333333333333331</v>
      </c>
      <c r="AA22" s="300">
        <f t="shared" ca="1" si="40"/>
        <v>0</v>
      </c>
      <c r="AB22" s="219">
        <f t="shared" si="12"/>
        <v>0</v>
      </c>
      <c r="AC22" s="219">
        <f t="shared" si="13"/>
        <v>0</v>
      </c>
      <c r="AD22" s="219">
        <f t="shared" si="14"/>
        <v>0</v>
      </c>
      <c r="AE22" s="219">
        <f t="shared" si="15"/>
        <v>0</v>
      </c>
      <c r="AF22" s="219">
        <f t="shared" si="16"/>
        <v>0</v>
      </c>
      <c r="AG22" s="219">
        <f t="shared" si="17"/>
        <v>0</v>
      </c>
      <c r="AH22" s="219">
        <f t="shared" si="18"/>
        <v>0</v>
      </c>
      <c r="AI22" s="219">
        <f t="shared" si="19"/>
        <v>0</v>
      </c>
      <c r="AJ22" s="219">
        <f t="shared" si="20"/>
        <v>0</v>
      </c>
      <c r="AK22" s="219">
        <f t="shared" si="21"/>
        <v>0</v>
      </c>
      <c r="AL22" s="219">
        <f t="shared" si="22"/>
        <v>0</v>
      </c>
      <c r="AM22" s="219">
        <f t="shared" si="23"/>
        <v>0</v>
      </c>
      <c r="AN22" s="301">
        <f t="shared" si="24"/>
        <v>0</v>
      </c>
      <c r="AO22" s="301">
        <f t="shared" si="25"/>
        <v>0</v>
      </c>
      <c r="AP22" s="301">
        <f t="shared" si="26"/>
        <v>0</v>
      </c>
      <c r="AQ22" s="301">
        <f t="shared" si="27"/>
        <v>0</v>
      </c>
      <c r="AR22" s="301">
        <f t="shared" si="28"/>
        <v>0</v>
      </c>
      <c r="AS22" s="301">
        <f t="shared" si="29"/>
        <v>0</v>
      </c>
      <c r="AT22" s="302">
        <f t="shared" si="30"/>
        <v>0</v>
      </c>
      <c r="AU22" s="302">
        <f t="shared" si="31"/>
        <v>0</v>
      </c>
      <c r="AV22" s="81">
        <f t="shared" si="32"/>
        <v>0</v>
      </c>
      <c r="AW22" s="82">
        <f t="shared" si="33"/>
        <v>0</v>
      </c>
      <c r="AX22" s="81">
        <f t="shared" si="34"/>
        <v>0</v>
      </c>
      <c r="AY22" s="83">
        <f t="shared" si="35"/>
        <v>0</v>
      </c>
      <c r="AZ22" s="83">
        <f t="shared" si="36"/>
        <v>0</v>
      </c>
      <c r="BA22" s="82">
        <f>IF(OR(B22=Feiertage!$A$16,B22=Feiertage!$A$19),U22*Zuschläge_24_31/100,IF(AZ22&gt;0,AZ22*Feiertag_mit/100,IF(AX22&gt;0,AX22*Zuschläge_Sa/100,IF(AY22&gt;0,AY22*Zuschlag_So/100,0))))</f>
        <v>0</v>
      </c>
      <c r="BB22" s="82">
        <f>IF(AND(B22&lt;&gt;0,G22=Voreinstellung_Übersicht!$D$41),IF(EG=1,W22*Über_klein/100,IF(EG=2,W22*Über_groß/100,"Fehler")),0)</f>
        <v>0</v>
      </c>
      <c r="BC22" s="299">
        <f t="shared" ca="1" si="41"/>
        <v>0</v>
      </c>
      <c r="BD22" s="219">
        <f t="shared" ca="1" si="37"/>
        <v>1</v>
      </c>
      <c r="BE22" s="303">
        <f ca="1">IF(B22="","",INDIRECT(ADDRESS(MATCH(B22,Soll_AZ,1)+MATCH("Arbeitszeit 1 ab",Voreinstellung_Übersicht!B:B,0)-1,4,,,"Voreinstellung_Übersicht"),TRUE))</f>
        <v>1.6666666666666665</v>
      </c>
      <c r="BF22" s="1">
        <f t="shared" si="42"/>
        <v>0</v>
      </c>
    </row>
    <row r="23" spans="1:58" s="1" customFormat="1" ht="15" x14ac:dyDescent="0.3">
      <c r="A23" s="218">
        <f t="shared" si="0"/>
        <v>16</v>
      </c>
      <c r="B23" s="47">
        <f t="shared" si="38"/>
        <v>42109</v>
      </c>
      <c r="C23" s="219">
        <f t="shared" si="1"/>
        <v>1</v>
      </c>
      <c r="D23" s="220" t="str">
        <f t="shared" si="2"/>
        <v/>
      </c>
      <c r="E23" s="298" t="str">
        <f t="shared" si="3"/>
        <v/>
      </c>
      <c r="F23" s="87">
        <f t="shared" si="4"/>
        <v>42109</v>
      </c>
      <c r="G23" s="147"/>
      <c r="H23" s="74"/>
      <c r="I23" s="75"/>
      <c r="J23" s="221">
        <f t="shared" si="5"/>
        <v>0</v>
      </c>
      <c r="K23" s="76"/>
      <c r="L23" s="221">
        <f t="shared" si="43"/>
        <v>0</v>
      </c>
      <c r="M23" s="74"/>
      <c r="N23" s="75"/>
      <c r="O23" s="221">
        <f t="shared" si="6"/>
        <v>0</v>
      </c>
      <c r="P23" s="76"/>
      <c r="Q23" s="221">
        <f t="shared" si="44"/>
        <v>0</v>
      </c>
      <c r="R23" s="221">
        <f t="shared" si="45"/>
        <v>0</v>
      </c>
      <c r="S23" s="221">
        <f t="shared" si="7"/>
        <v>0</v>
      </c>
      <c r="T23" s="79">
        <f t="shared" si="8"/>
        <v>0</v>
      </c>
      <c r="U23" s="79">
        <f t="shared" si="39"/>
        <v>0</v>
      </c>
      <c r="V23" s="80">
        <f t="shared" ca="1" si="9"/>
        <v>0.33333333329999998</v>
      </c>
      <c r="W23" s="249" t="str">
        <f t="shared" ca="1" si="10"/>
        <v/>
      </c>
      <c r="X23" s="293"/>
      <c r="Y23" s="221">
        <f t="shared" si="11"/>
        <v>0</v>
      </c>
      <c r="Z23" s="299">
        <f ca="1">IF(B23="","",INDIRECT(ADDRESS(MATCH(B23,Soll_AZ,1)+MATCH("Arbeitszeit 1 ab",Voreinstellung_Übersicht!B:B,0)-1,WEEKDAY(B23,2)+4,,,"Voreinstellung_Übersicht"),TRUE))</f>
        <v>0.33333333333333331</v>
      </c>
      <c r="AA23" s="300">
        <f t="shared" ca="1" si="40"/>
        <v>0</v>
      </c>
      <c r="AB23" s="219">
        <f t="shared" si="12"/>
        <v>0</v>
      </c>
      <c r="AC23" s="219">
        <f t="shared" si="13"/>
        <v>0</v>
      </c>
      <c r="AD23" s="219">
        <f t="shared" si="14"/>
        <v>0</v>
      </c>
      <c r="AE23" s="219">
        <f t="shared" si="15"/>
        <v>0</v>
      </c>
      <c r="AF23" s="219">
        <f t="shared" si="16"/>
        <v>0</v>
      </c>
      <c r="AG23" s="219">
        <f t="shared" si="17"/>
        <v>0</v>
      </c>
      <c r="AH23" s="219">
        <f t="shared" si="18"/>
        <v>0</v>
      </c>
      <c r="AI23" s="219">
        <f t="shared" si="19"/>
        <v>0</v>
      </c>
      <c r="AJ23" s="219">
        <f t="shared" si="20"/>
        <v>0</v>
      </c>
      <c r="AK23" s="219">
        <f t="shared" si="21"/>
        <v>0</v>
      </c>
      <c r="AL23" s="219">
        <f t="shared" si="22"/>
        <v>0</v>
      </c>
      <c r="AM23" s="219">
        <f t="shared" si="23"/>
        <v>0</v>
      </c>
      <c r="AN23" s="301">
        <f t="shared" si="24"/>
        <v>0</v>
      </c>
      <c r="AO23" s="301">
        <f t="shared" si="25"/>
        <v>0</v>
      </c>
      <c r="AP23" s="301">
        <f t="shared" si="26"/>
        <v>0</v>
      </c>
      <c r="AQ23" s="301">
        <f t="shared" si="27"/>
        <v>0</v>
      </c>
      <c r="AR23" s="301">
        <f t="shared" si="28"/>
        <v>0</v>
      </c>
      <c r="AS23" s="301">
        <f t="shared" si="29"/>
        <v>0</v>
      </c>
      <c r="AT23" s="302">
        <f t="shared" si="30"/>
        <v>0</v>
      </c>
      <c r="AU23" s="302">
        <f t="shared" si="31"/>
        <v>0</v>
      </c>
      <c r="AV23" s="81">
        <f t="shared" si="32"/>
        <v>0</v>
      </c>
      <c r="AW23" s="82">
        <f t="shared" si="33"/>
        <v>0</v>
      </c>
      <c r="AX23" s="81">
        <f t="shared" si="34"/>
        <v>0</v>
      </c>
      <c r="AY23" s="83">
        <f t="shared" si="35"/>
        <v>0</v>
      </c>
      <c r="AZ23" s="83">
        <f t="shared" si="36"/>
        <v>0</v>
      </c>
      <c r="BA23" s="82">
        <f>IF(OR(B23=Feiertage!$A$16,B23=Feiertage!$A$19),U23*Zuschläge_24_31/100,IF(AZ23&gt;0,AZ23*Feiertag_mit/100,IF(AX23&gt;0,AX23*Zuschläge_Sa/100,IF(AY23&gt;0,AY23*Zuschlag_So/100,0))))</f>
        <v>0</v>
      </c>
      <c r="BB23" s="82">
        <f>IF(AND(B23&lt;&gt;0,G23=Voreinstellung_Übersicht!$D$41),IF(EG=1,W23*Über_klein/100,IF(EG=2,W23*Über_groß/100,"Fehler")),0)</f>
        <v>0</v>
      </c>
      <c r="BC23" s="299">
        <f t="shared" ca="1" si="41"/>
        <v>0</v>
      </c>
      <c r="BD23" s="219">
        <f t="shared" ca="1" si="37"/>
        <v>1</v>
      </c>
      <c r="BE23" s="303">
        <f ca="1">IF(B23="","",INDIRECT(ADDRESS(MATCH(B23,Soll_AZ,1)+MATCH("Arbeitszeit 1 ab",Voreinstellung_Übersicht!B:B,0)-1,4,,,"Voreinstellung_Übersicht"),TRUE))</f>
        <v>1.6666666666666665</v>
      </c>
      <c r="BF23" s="1">
        <f t="shared" si="42"/>
        <v>0</v>
      </c>
    </row>
    <row r="24" spans="1:58" s="1" customFormat="1" ht="15" x14ac:dyDescent="0.3">
      <c r="A24" s="218">
        <f t="shared" si="0"/>
        <v>16</v>
      </c>
      <c r="B24" s="47">
        <f t="shared" si="38"/>
        <v>42110</v>
      </c>
      <c r="C24" s="219">
        <f t="shared" si="1"/>
        <v>1</v>
      </c>
      <c r="D24" s="220" t="str">
        <f t="shared" si="2"/>
        <v/>
      </c>
      <c r="E24" s="298" t="str">
        <f t="shared" si="3"/>
        <v/>
      </c>
      <c r="F24" s="87">
        <f t="shared" si="4"/>
        <v>42110</v>
      </c>
      <c r="G24" s="147"/>
      <c r="H24" s="74"/>
      <c r="I24" s="75"/>
      <c r="J24" s="221">
        <f t="shared" si="5"/>
        <v>0</v>
      </c>
      <c r="K24" s="76"/>
      <c r="L24" s="221">
        <f t="shared" si="43"/>
        <v>0</v>
      </c>
      <c r="M24" s="74"/>
      <c r="N24" s="75"/>
      <c r="O24" s="221">
        <f t="shared" si="6"/>
        <v>0</v>
      </c>
      <c r="P24" s="76"/>
      <c r="Q24" s="221">
        <f t="shared" si="44"/>
        <v>0</v>
      </c>
      <c r="R24" s="221">
        <f t="shared" si="45"/>
        <v>0</v>
      </c>
      <c r="S24" s="221">
        <f t="shared" si="7"/>
        <v>0</v>
      </c>
      <c r="T24" s="79">
        <f t="shared" si="8"/>
        <v>0</v>
      </c>
      <c r="U24" s="79">
        <f t="shared" si="39"/>
        <v>0</v>
      </c>
      <c r="V24" s="80">
        <f t="shared" ca="1" si="9"/>
        <v>0.33333333329999998</v>
      </c>
      <c r="W24" s="249" t="str">
        <f t="shared" ca="1" si="10"/>
        <v/>
      </c>
      <c r="X24" s="293"/>
      <c r="Y24" s="221">
        <f t="shared" si="11"/>
        <v>0</v>
      </c>
      <c r="Z24" s="299">
        <f ca="1">IF(B24="","",INDIRECT(ADDRESS(MATCH(B24,Soll_AZ,1)+MATCH("Arbeitszeit 1 ab",Voreinstellung_Übersicht!B:B,0)-1,WEEKDAY(B24,2)+4,,,"Voreinstellung_Übersicht"),TRUE))</f>
        <v>0.33333333333333331</v>
      </c>
      <c r="AA24" s="300">
        <f t="shared" ca="1" si="40"/>
        <v>0</v>
      </c>
      <c r="AB24" s="219">
        <f t="shared" si="12"/>
        <v>0</v>
      </c>
      <c r="AC24" s="219">
        <f t="shared" si="13"/>
        <v>0</v>
      </c>
      <c r="AD24" s="219">
        <f t="shared" si="14"/>
        <v>0</v>
      </c>
      <c r="AE24" s="219">
        <f t="shared" si="15"/>
        <v>0</v>
      </c>
      <c r="AF24" s="219">
        <f t="shared" si="16"/>
        <v>0</v>
      </c>
      <c r="AG24" s="219">
        <f t="shared" si="17"/>
        <v>0</v>
      </c>
      <c r="AH24" s="219">
        <f t="shared" si="18"/>
        <v>0</v>
      </c>
      <c r="AI24" s="219">
        <f t="shared" si="19"/>
        <v>0</v>
      </c>
      <c r="AJ24" s="219">
        <f t="shared" si="20"/>
        <v>0</v>
      </c>
      <c r="AK24" s="219">
        <f t="shared" si="21"/>
        <v>0</v>
      </c>
      <c r="AL24" s="219">
        <f t="shared" si="22"/>
        <v>0</v>
      </c>
      <c r="AM24" s="219">
        <f t="shared" si="23"/>
        <v>0</v>
      </c>
      <c r="AN24" s="301">
        <f t="shared" si="24"/>
        <v>0</v>
      </c>
      <c r="AO24" s="301">
        <f t="shared" si="25"/>
        <v>0</v>
      </c>
      <c r="AP24" s="301">
        <f t="shared" si="26"/>
        <v>0</v>
      </c>
      <c r="AQ24" s="301">
        <f t="shared" si="27"/>
        <v>0</v>
      </c>
      <c r="AR24" s="301">
        <f t="shared" si="28"/>
        <v>0</v>
      </c>
      <c r="AS24" s="301">
        <f t="shared" si="29"/>
        <v>0</v>
      </c>
      <c r="AT24" s="302">
        <f t="shared" si="30"/>
        <v>0</v>
      </c>
      <c r="AU24" s="302">
        <f t="shared" si="31"/>
        <v>0</v>
      </c>
      <c r="AV24" s="81">
        <f t="shared" si="32"/>
        <v>0</v>
      </c>
      <c r="AW24" s="82">
        <f t="shared" si="33"/>
        <v>0</v>
      </c>
      <c r="AX24" s="81">
        <f t="shared" si="34"/>
        <v>0</v>
      </c>
      <c r="AY24" s="83">
        <f t="shared" si="35"/>
        <v>0</v>
      </c>
      <c r="AZ24" s="83">
        <f t="shared" si="36"/>
        <v>0</v>
      </c>
      <c r="BA24" s="82">
        <f>IF(OR(B24=Feiertage!$A$16,B24=Feiertage!$A$19),U24*Zuschläge_24_31/100,IF(AZ24&gt;0,AZ24*Feiertag_mit/100,IF(AX24&gt;0,AX24*Zuschläge_Sa/100,IF(AY24&gt;0,AY24*Zuschlag_So/100,0))))</f>
        <v>0</v>
      </c>
      <c r="BB24" s="82">
        <f>IF(AND(B24&lt;&gt;0,G24=Voreinstellung_Übersicht!$D$41),IF(EG=1,W24*Über_klein/100,IF(EG=2,W24*Über_groß/100,"Fehler")),0)</f>
        <v>0</v>
      </c>
      <c r="BC24" s="299">
        <f t="shared" ca="1" si="41"/>
        <v>0</v>
      </c>
      <c r="BD24" s="219">
        <f t="shared" ca="1" si="37"/>
        <v>1</v>
      </c>
      <c r="BE24" s="303">
        <f ca="1">IF(B24="","",INDIRECT(ADDRESS(MATCH(B24,Soll_AZ,1)+MATCH("Arbeitszeit 1 ab",Voreinstellung_Übersicht!B:B,0)-1,4,,,"Voreinstellung_Übersicht"),TRUE))</f>
        <v>1.6666666666666665</v>
      </c>
      <c r="BF24" s="1">
        <f t="shared" si="42"/>
        <v>0</v>
      </c>
    </row>
    <row r="25" spans="1:58" s="1" customFormat="1" ht="15" x14ac:dyDescent="0.3">
      <c r="A25" s="218">
        <f t="shared" si="0"/>
        <v>16</v>
      </c>
      <c r="B25" s="47">
        <f t="shared" si="38"/>
        <v>42111</v>
      </c>
      <c r="C25" s="219">
        <f t="shared" si="1"/>
        <v>1</v>
      </c>
      <c r="D25" s="220" t="str">
        <f t="shared" si="2"/>
        <v/>
      </c>
      <c r="E25" s="298" t="str">
        <f t="shared" si="3"/>
        <v/>
      </c>
      <c r="F25" s="87">
        <f t="shared" si="4"/>
        <v>42111</v>
      </c>
      <c r="G25" s="147"/>
      <c r="H25" s="74"/>
      <c r="I25" s="75"/>
      <c r="J25" s="221">
        <f t="shared" si="5"/>
        <v>0</v>
      </c>
      <c r="K25" s="76"/>
      <c r="L25" s="221">
        <f t="shared" si="43"/>
        <v>0</v>
      </c>
      <c r="M25" s="74"/>
      <c r="N25" s="75"/>
      <c r="O25" s="221">
        <f t="shared" si="6"/>
        <v>0</v>
      </c>
      <c r="P25" s="76"/>
      <c r="Q25" s="221">
        <f t="shared" si="44"/>
        <v>0</v>
      </c>
      <c r="R25" s="221">
        <f t="shared" si="45"/>
        <v>0</v>
      </c>
      <c r="S25" s="221">
        <f t="shared" si="7"/>
        <v>0</v>
      </c>
      <c r="T25" s="79">
        <f t="shared" si="8"/>
        <v>0</v>
      </c>
      <c r="U25" s="79">
        <f t="shared" si="39"/>
        <v>0</v>
      </c>
      <c r="V25" s="80">
        <f t="shared" ca="1" si="9"/>
        <v>0.33333333329999998</v>
      </c>
      <c r="W25" s="249" t="str">
        <f t="shared" ca="1" si="10"/>
        <v/>
      </c>
      <c r="X25" s="293"/>
      <c r="Y25" s="221">
        <f t="shared" si="11"/>
        <v>0</v>
      </c>
      <c r="Z25" s="299">
        <f ca="1">IF(B25="","",INDIRECT(ADDRESS(MATCH(B25,Soll_AZ,1)+MATCH("Arbeitszeit 1 ab",Voreinstellung_Übersicht!B:B,0)-1,WEEKDAY(B25,2)+4,,,"Voreinstellung_Übersicht"),TRUE))</f>
        <v>0.33333333333333331</v>
      </c>
      <c r="AA25" s="300">
        <f t="shared" ca="1" si="40"/>
        <v>0</v>
      </c>
      <c r="AB25" s="219">
        <f t="shared" si="12"/>
        <v>0</v>
      </c>
      <c r="AC25" s="219">
        <f t="shared" si="13"/>
        <v>0</v>
      </c>
      <c r="AD25" s="219">
        <f t="shared" si="14"/>
        <v>0</v>
      </c>
      <c r="AE25" s="219">
        <f t="shared" si="15"/>
        <v>0</v>
      </c>
      <c r="AF25" s="219">
        <f t="shared" si="16"/>
        <v>0</v>
      </c>
      <c r="AG25" s="219">
        <f t="shared" si="17"/>
        <v>0</v>
      </c>
      <c r="AH25" s="219">
        <f t="shared" si="18"/>
        <v>0</v>
      </c>
      <c r="AI25" s="219">
        <f t="shared" si="19"/>
        <v>0</v>
      </c>
      <c r="AJ25" s="219">
        <f t="shared" si="20"/>
        <v>0</v>
      </c>
      <c r="AK25" s="219">
        <f t="shared" si="21"/>
        <v>0</v>
      </c>
      <c r="AL25" s="219">
        <f t="shared" si="22"/>
        <v>0</v>
      </c>
      <c r="AM25" s="219">
        <f t="shared" si="23"/>
        <v>0</v>
      </c>
      <c r="AN25" s="301">
        <f t="shared" si="24"/>
        <v>0</v>
      </c>
      <c r="AO25" s="301">
        <f t="shared" si="25"/>
        <v>0</v>
      </c>
      <c r="AP25" s="301">
        <f t="shared" si="26"/>
        <v>0</v>
      </c>
      <c r="AQ25" s="301">
        <f t="shared" si="27"/>
        <v>0</v>
      </c>
      <c r="AR25" s="301">
        <f t="shared" si="28"/>
        <v>0</v>
      </c>
      <c r="AS25" s="301">
        <f t="shared" si="29"/>
        <v>0</v>
      </c>
      <c r="AT25" s="302">
        <f t="shared" si="30"/>
        <v>0</v>
      </c>
      <c r="AU25" s="302">
        <f t="shared" si="31"/>
        <v>0</v>
      </c>
      <c r="AV25" s="81">
        <f t="shared" si="32"/>
        <v>0</v>
      </c>
      <c r="AW25" s="82">
        <f t="shared" si="33"/>
        <v>0</v>
      </c>
      <c r="AX25" s="81">
        <f t="shared" si="34"/>
        <v>0</v>
      </c>
      <c r="AY25" s="83">
        <f t="shared" si="35"/>
        <v>0</v>
      </c>
      <c r="AZ25" s="83">
        <f t="shared" si="36"/>
        <v>0</v>
      </c>
      <c r="BA25" s="82">
        <f>IF(OR(B25=Feiertage!$A$16,B25=Feiertage!$A$19),U25*Zuschläge_24_31/100,IF(AZ25&gt;0,AZ25*Feiertag_mit/100,IF(AX25&gt;0,AX25*Zuschläge_Sa/100,IF(AY25&gt;0,AY25*Zuschlag_So/100,0))))</f>
        <v>0</v>
      </c>
      <c r="BB25" s="82">
        <f>IF(AND(B25&lt;&gt;0,G25=Voreinstellung_Übersicht!$D$41),IF(EG=1,W25*Über_klein/100,IF(EG=2,W25*Über_groß/100,"Fehler")),0)</f>
        <v>0</v>
      </c>
      <c r="BC25" s="299">
        <f t="shared" ca="1" si="41"/>
        <v>0</v>
      </c>
      <c r="BD25" s="219">
        <f t="shared" ca="1" si="37"/>
        <v>1</v>
      </c>
      <c r="BE25" s="303">
        <f ca="1">IF(B25="","",INDIRECT(ADDRESS(MATCH(B25,Soll_AZ,1)+MATCH("Arbeitszeit 1 ab",Voreinstellung_Übersicht!B:B,0)-1,4,,,"Voreinstellung_Übersicht"),TRUE))</f>
        <v>1.6666666666666665</v>
      </c>
      <c r="BF25" s="1">
        <f t="shared" si="42"/>
        <v>0</v>
      </c>
    </row>
    <row r="26" spans="1:58" s="1" customFormat="1" ht="15" x14ac:dyDescent="0.3">
      <c r="A26" s="218">
        <f t="shared" si="0"/>
        <v>16</v>
      </c>
      <c r="B26" s="47">
        <f t="shared" si="38"/>
        <v>42112</v>
      </c>
      <c r="C26" s="219">
        <f t="shared" si="1"/>
        <v>0</v>
      </c>
      <c r="D26" s="220" t="str">
        <f t="shared" si="2"/>
        <v>Karfreitag</v>
      </c>
      <c r="E26" s="298" t="str">
        <f t="shared" si="3"/>
        <v>Karfreitag</v>
      </c>
      <c r="F26" s="87">
        <f t="shared" si="4"/>
        <v>42112</v>
      </c>
      <c r="G26" s="147"/>
      <c r="H26" s="74"/>
      <c r="I26" s="75"/>
      <c r="J26" s="221">
        <f t="shared" si="5"/>
        <v>0</v>
      </c>
      <c r="K26" s="76"/>
      <c r="L26" s="221">
        <f t="shared" si="43"/>
        <v>0</v>
      </c>
      <c r="M26" s="74"/>
      <c r="N26" s="75"/>
      <c r="O26" s="221">
        <f t="shared" si="6"/>
        <v>0</v>
      </c>
      <c r="P26" s="76"/>
      <c r="Q26" s="221">
        <f t="shared" si="44"/>
        <v>0</v>
      </c>
      <c r="R26" s="221">
        <f t="shared" si="45"/>
        <v>0</v>
      </c>
      <c r="S26" s="221">
        <f t="shared" si="7"/>
        <v>0</v>
      </c>
      <c r="T26" s="79">
        <f t="shared" si="8"/>
        <v>0</v>
      </c>
      <c r="U26" s="79">
        <f t="shared" si="39"/>
        <v>0</v>
      </c>
      <c r="V26" s="80">
        <f t="shared" si="9"/>
        <v>0</v>
      </c>
      <c r="W26" s="249" t="str">
        <f t="shared" si="10"/>
        <v/>
      </c>
      <c r="X26" s="293"/>
      <c r="Y26" s="221">
        <f t="shared" si="11"/>
        <v>0</v>
      </c>
      <c r="Z26" s="299">
        <f ca="1">IF(B26="","",INDIRECT(ADDRESS(MATCH(B26,Soll_AZ,1)+MATCH("Arbeitszeit 1 ab",Voreinstellung_Übersicht!B:B,0)-1,WEEKDAY(B26,2)+4,,,"Voreinstellung_Übersicht"),TRUE))</f>
        <v>0.33333333333333331</v>
      </c>
      <c r="AA26" s="300">
        <f t="shared" ca="1" si="40"/>
        <v>0</v>
      </c>
      <c r="AB26" s="219">
        <f t="shared" si="12"/>
        <v>0</v>
      </c>
      <c r="AC26" s="219">
        <f t="shared" si="13"/>
        <v>0</v>
      </c>
      <c r="AD26" s="219">
        <f t="shared" si="14"/>
        <v>0</v>
      </c>
      <c r="AE26" s="219">
        <f t="shared" si="15"/>
        <v>0</v>
      </c>
      <c r="AF26" s="219">
        <f t="shared" si="16"/>
        <v>0</v>
      </c>
      <c r="AG26" s="219">
        <f t="shared" si="17"/>
        <v>0</v>
      </c>
      <c r="AH26" s="219">
        <f t="shared" si="18"/>
        <v>0</v>
      </c>
      <c r="AI26" s="219">
        <f t="shared" si="19"/>
        <v>0</v>
      </c>
      <c r="AJ26" s="219">
        <f t="shared" si="20"/>
        <v>0</v>
      </c>
      <c r="AK26" s="219">
        <f t="shared" si="21"/>
        <v>0</v>
      </c>
      <c r="AL26" s="219">
        <f t="shared" si="22"/>
        <v>0</v>
      </c>
      <c r="AM26" s="219">
        <f t="shared" si="23"/>
        <v>0</v>
      </c>
      <c r="AN26" s="301">
        <f t="shared" si="24"/>
        <v>0</v>
      </c>
      <c r="AO26" s="301">
        <f t="shared" si="25"/>
        <v>0</v>
      </c>
      <c r="AP26" s="301">
        <f t="shared" si="26"/>
        <v>0</v>
      </c>
      <c r="AQ26" s="301">
        <f t="shared" si="27"/>
        <v>0</v>
      </c>
      <c r="AR26" s="301">
        <f t="shared" si="28"/>
        <v>0</v>
      </c>
      <c r="AS26" s="301">
        <f t="shared" si="29"/>
        <v>0</v>
      </c>
      <c r="AT26" s="302">
        <f t="shared" si="30"/>
        <v>0</v>
      </c>
      <c r="AU26" s="302">
        <f t="shared" si="31"/>
        <v>0</v>
      </c>
      <c r="AV26" s="81">
        <f t="shared" si="32"/>
        <v>0</v>
      </c>
      <c r="AW26" s="82">
        <f t="shared" si="33"/>
        <v>0</v>
      </c>
      <c r="AX26" s="81">
        <f t="shared" si="34"/>
        <v>0</v>
      </c>
      <c r="AY26" s="83">
        <f t="shared" si="35"/>
        <v>0</v>
      </c>
      <c r="AZ26" s="83">
        <f t="shared" si="36"/>
        <v>0</v>
      </c>
      <c r="BA26" s="82">
        <f>IF(OR(B26=Feiertage!$A$16,B26=Feiertage!$A$19),U26*Zuschläge_24_31/100,IF(AZ26&gt;0,AZ26*Feiertag_mit/100,IF(AX26&gt;0,AX26*Zuschläge_Sa/100,IF(AY26&gt;0,AY26*Zuschlag_So/100,0))))</f>
        <v>0</v>
      </c>
      <c r="BB26" s="82">
        <f>IF(AND(B26&lt;&gt;0,G26=Voreinstellung_Übersicht!$D$41),IF(EG=1,W26*Über_klein/100,IF(EG=2,W26*Über_groß/100,"Fehler")),0)</f>
        <v>0</v>
      </c>
      <c r="BC26" s="299">
        <f t="shared" ca="1" si="41"/>
        <v>0</v>
      </c>
      <c r="BD26" s="219">
        <f t="shared" ca="1" si="37"/>
        <v>1</v>
      </c>
      <c r="BE26" s="303">
        <f ca="1">IF(B26="","",INDIRECT(ADDRESS(MATCH(B26,Soll_AZ,1)+MATCH("Arbeitszeit 1 ab",Voreinstellung_Übersicht!B:B,0)-1,4,,,"Voreinstellung_Übersicht"),TRUE))</f>
        <v>1.6666666666666665</v>
      </c>
      <c r="BF26" s="1">
        <f t="shared" si="42"/>
        <v>0</v>
      </c>
    </row>
    <row r="27" spans="1:58" s="1" customFormat="1" ht="15" x14ac:dyDescent="0.3">
      <c r="A27" s="218">
        <f t="shared" si="0"/>
        <v>16</v>
      </c>
      <c r="B27" s="47">
        <f t="shared" si="38"/>
        <v>42113</v>
      </c>
      <c r="C27" s="219">
        <f t="shared" si="1"/>
        <v>0</v>
      </c>
      <c r="D27" s="220" t="str">
        <f t="shared" si="2"/>
        <v>Karsamstag</v>
      </c>
      <c r="E27" s="298" t="str">
        <f t="shared" si="3"/>
        <v>Karsamstag</v>
      </c>
      <c r="F27" s="87">
        <f t="shared" si="4"/>
        <v>42113</v>
      </c>
      <c r="G27" s="147"/>
      <c r="H27" s="74"/>
      <c r="I27" s="75"/>
      <c r="J27" s="221">
        <f t="shared" si="5"/>
        <v>0</v>
      </c>
      <c r="K27" s="76"/>
      <c r="L27" s="221">
        <f t="shared" si="43"/>
        <v>0</v>
      </c>
      <c r="M27" s="74"/>
      <c r="N27" s="75"/>
      <c r="O27" s="221">
        <f t="shared" si="6"/>
        <v>0</v>
      </c>
      <c r="P27" s="76"/>
      <c r="Q27" s="221">
        <f t="shared" si="44"/>
        <v>0</v>
      </c>
      <c r="R27" s="221">
        <f t="shared" si="45"/>
        <v>0</v>
      </c>
      <c r="S27" s="221">
        <f t="shared" si="7"/>
        <v>0</v>
      </c>
      <c r="T27" s="79">
        <f t="shared" si="8"/>
        <v>0</v>
      </c>
      <c r="U27" s="79">
        <f t="shared" si="39"/>
        <v>0</v>
      </c>
      <c r="V27" s="80">
        <f t="shared" si="9"/>
        <v>0</v>
      </c>
      <c r="W27" s="249" t="str">
        <f t="shared" si="10"/>
        <v/>
      </c>
      <c r="X27" s="293"/>
      <c r="Y27" s="221">
        <f t="shared" si="11"/>
        <v>0</v>
      </c>
      <c r="Z27" s="299">
        <f ca="1">IF(B27="","",INDIRECT(ADDRESS(MATCH(B27,Soll_AZ,1)+MATCH("Arbeitszeit 1 ab",Voreinstellung_Übersicht!B:B,0)-1,WEEKDAY(B27,2)+4,,,"Voreinstellung_Übersicht"),TRUE))</f>
        <v>0</v>
      </c>
      <c r="AA27" s="300">
        <f t="shared" ca="1" si="40"/>
        <v>0</v>
      </c>
      <c r="AB27" s="219">
        <f t="shared" si="12"/>
        <v>0</v>
      </c>
      <c r="AC27" s="219">
        <f t="shared" si="13"/>
        <v>0</v>
      </c>
      <c r="AD27" s="219">
        <f t="shared" si="14"/>
        <v>0</v>
      </c>
      <c r="AE27" s="219">
        <f t="shared" si="15"/>
        <v>0</v>
      </c>
      <c r="AF27" s="219">
        <f t="shared" si="16"/>
        <v>0</v>
      </c>
      <c r="AG27" s="219">
        <f t="shared" si="17"/>
        <v>0</v>
      </c>
      <c r="AH27" s="219">
        <f t="shared" si="18"/>
        <v>0</v>
      </c>
      <c r="AI27" s="219">
        <f t="shared" si="19"/>
        <v>0</v>
      </c>
      <c r="AJ27" s="219">
        <f t="shared" si="20"/>
        <v>0</v>
      </c>
      <c r="AK27" s="219">
        <f t="shared" si="21"/>
        <v>0</v>
      </c>
      <c r="AL27" s="219">
        <f t="shared" si="22"/>
        <v>0</v>
      </c>
      <c r="AM27" s="219">
        <f t="shared" si="23"/>
        <v>0</v>
      </c>
      <c r="AN27" s="301">
        <f t="shared" si="24"/>
        <v>0</v>
      </c>
      <c r="AO27" s="301">
        <f t="shared" si="25"/>
        <v>0</v>
      </c>
      <c r="AP27" s="301">
        <f t="shared" si="26"/>
        <v>0</v>
      </c>
      <c r="AQ27" s="301">
        <f t="shared" si="27"/>
        <v>0</v>
      </c>
      <c r="AR27" s="301">
        <f t="shared" si="28"/>
        <v>0</v>
      </c>
      <c r="AS27" s="301">
        <f t="shared" si="29"/>
        <v>0</v>
      </c>
      <c r="AT27" s="302">
        <f t="shared" si="30"/>
        <v>0</v>
      </c>
      <c r="AU27" s="302">
        <f t="shared" si="31"/>
        <v>0</v>
      </c>
      <c r="AV27" s="81">
        <f t="shared" si="32"/>
        <v>0</v>
      </c>
      <c r="AW27" s="82">
        <f t="shared" si="33"/>
        <v>0</v>
      </c>
      <c r="AX27" s="81">
        <f t="shared" si="34"/>
        <v>0</v>
      </c>
      <c r="AY27" s="83">
        <f t="shared" si="35"/>
        <v>0</v>
      </c>
      <c r="AZ27" s="83">
        <f t="shared" si="36"/>
        <v>0</v>
      </c>
      <c r="BA27" s="82">
        <f>IF(OR(B27=Feiertage!$A$16,B27=Feiertage!$A$19),U27*Zuschläge_24_31/100,IF(AZ27&gt;0,AZ27*Feiertag_mit/100,IF(AX27&gt;0,AX27*Zuschläge_Sa/100,IF(AY27&gt;0,AY27*Zuschlag_So/100,0))))</f>
        <v>0</v>
      </c>
      <c r="BB27" s="82">
        <f>IF(AND(B27&lt;&gt;0,G27=Voreinstellung_Übersicht!$D$41),IF(EG=1,W27*Über_klein/100,IF(EG=2,W27*Über_groß/100,"Fehler")),0)</f>
        <v>0</v>
      </c>
      <c r="BC27" s="299">
        <f t="shared" ca="1" si="41"/>
        <v>0</v>
      </c>
      <c r="BD27" s="219">
        <f t="shared" ca="1" si="37"/>
        <v>1</v>
      </c>
      <c r="BE27" s="303">
        <f ca="1">IF(B27="","",INDIRECT(ADDRESS(MATCH(B27,Soll_AZ,1)+MATCH("Arbeitszeit 1 ab",Voreinstellung_Übersicht!B:B,0)-1,4,,,"Voreinstellung_Übersicht"),TRUE))</f>
        <v>1.6666666666666665</v>
      </c>
      <c r="BF27" s="1">
        <f t="shared" si="42"/>
        <v>0</v>
      </c>
    </row>
    <row r="28" spans="1:58" s="1" customFormat="1" ht="15" x14ac:dyDescent="0.3">
      <c r="A28" s="218">
        <f t="shared" si="0"/>
        <v>17</v>
      </c>
      <c r="B28" s="47">
        <f t="shared" si="38"/>
        <v>42114</v>
      </c>
      <c r="C28" s="219">
        <f t="shared" si="1"/>
        <v>0</v>
      </c>
      <c r="D28" s="220" t="str">
        <f t="shared" si="2"/>
        <v>Ostersonntag</v>
      </c>
      <c r="E28" s="298" t="str">
        <f t="shared" si="3"/>
        <v>Ostersonntag</v>
      </c>
      <c r="F28" s="87">
        <f t="shared" si="4"/>
        <v>42114</v>
      </c>
      <c r="G28" s="147"/>
      <c r="H28" s="74"/>
      <c r="I28" s="75"/>
      <c r="J28" s="221">
        <f t="shared" si="5"/>
        <v>0</v>
      </c>
      <c r="K28" s="76"/>
      <c r="L28" s="221">
        <f t="shared" si="43"/>
        <v>0</v>
      </c>
      <c r="M28" s="74"/>
      <c r="N28" s="75"/>
      <c r="O28" s="221">
        <f t="shared" si="6"/>
        <v>0</v>
      </c>
      <c r="P28" s="76"/>
      <c r="Q28" s="221">
        <f t="shared" si="44"/>
        <v>0</v>
      </c>
      <c r="R28" s="221">
        <f t="shared" si="45"/>
        <v>0</v>
      </c>
      <c r="S28" s="221">
        <f t="shared" si="7"/>
        <v>0</v>
      </c>
      <c r="T28" s="79">
        <f t="shared" si="8"/>
        <v>0</v>
      </c>
      <c r="U28" s="79">
        <f t="shared" si="39"/>
        <v>0</v>
      </c>
      <c r="V28" s="80">
        <f t="shared" si="9"/>
        <v>0</v>
      </c>
      <c r="W28" s="249" t="str">
        <f t="shared" si="10"/>
        <v/>
      </c>
      <c r="X28" s="293"/>
      <c r="Y28" s="221">
        <f t="shared" si="11"/>
        <v>0</v>
      </c>
      <c r="Z28" s="299">
        <f ca="1">IF(B28="","",INDIRECT(ADDRESS(MATCH(B28,Soll_AZ,1)+MATCH("Arbeitszeit 1 ab",Voreinstellung_Übersicht!B:B,0)-1,WEEKDAY(B28,2)+4,,,"Voreinstellung_Übersicht"),TRUE))</f>
        <v>0</v>
      </c>
      <c r="AA28" s="300">
        <f t="shared" ca="1" si="40"/>
        <v>0</v>
      </c>
      <c r="AB28" s="219">
        <f t="shared" si="12"/>
        <v>0</v>
      </c>
      <c r="AC28" s="219">
        <f t="shared" si="13"/>
        <v>0</v>
      </c>
      <c r="AD28" s="219">
        <f t="shared" si="14"/>
        <v>0</v>
      </c>
      <c r="AE28" s="219">
        <f t="shared" si="15"/>
        <v>0</v>
      </c>
      <c r="AF28" s="219">
        <f t="shared" si="16"/>
        <v>0</v>
      </c>
      <c r="AG28" s="219">
        <f t="shared" si="17"/>
        <v>0</v>
      </c>
      <c r="AH28" s="219">
        <f t="shared" si="18"/>
        <v>0</v>
      </c>
      <c r="AI28" s="219">
        <f t="shared" si="19"/>
        <v>0</v>
      </c>
      <c r="AJ28" s="219">
        <f t="shared" si="20"/>
        <v>0</v>
      </c>
      <c r="AK28" s="219">
        <f t="shared" si="21"/>
        <v>0</v>
      </c>
      <c r="AL28" s="219">
        <f t="shared" si="22"/>
        <v>0</v>
      </c>
      <c r="AM28" s="219">
        <f t="shared" si="23"/>
        <v>0</v>
      </c>
      <c r="AN28" s="301">
        <f t="shared" si="24"/>
        <v>0</v>
      </c>
      <c r="AO28" s="301">
        <f t="shared" si="25"/>
        <v>0</v>
      </c>
      <c r="AP28" s="301">
        <f t="shared" si="26"/>
        <v>0</v>
      </c>
      <c r="AQ28" s="301">
        <f t="shared" si="27"/>
        <v>0</v>
      </c>
      <c r="AR28" s="301">
        <f t="shared" si="28"/>
        <v>0</v>
      </c>
      <c r="AS28" s="301">
        <f t="shared" si="29"/>
        <v>0</v>
      </c>
      <c r="AT28" s="302">
        <f t="shared" si="30"/>
        <v>0</v>
      </c>
      <c r="AU28" s="302">
        <f t="shared" si="31"/>
        <v>0</v>
      </c>
      <c r="AV28" s="81">
        <f t="shared" si="32"/>
        <v>0</v>
      </c>
      <c r="AW28" s="82">
        <f t="shared" si="33"/>
        <v>0</v>
      </c>
      <c r="AX28" s="81">
        <f t="shared" si="34"/>
        <v>0</v>
      </c>
      <c r="AY28" s="83">
        <f t="shared" si="35"/>
        <v>0</v>
      </c>
      <c r="AZ28" s="83">
        <f t="shared" si="36"/>
        <v>0</v>
      </c>
      <c r="BA28" s="82">
        <f>IF(OR(B28=Feiertage!$A$16,B28=Feiertage!$A$19),U28*Zuschläge_24_31/100,IF(AZ28&gt;0,AZ28*Feiertag_mit/100,IF(AX28&gt;0,AX28*Zuschläge_Sa/100,IF(AY28&gt;0,AY28*Zuschlag_So/100,0))))</f>
        <v>0</v>
      </c>
      <c r="BB28" s="82">
        <f>IF(AND(B28&lt;&gt;0,G28=Voreinstellung_Übersicht!$D$41),IF(EG=1,W28*Über_klein/100,IF(EG=2,W28*Über_groß/100,"Fehler")),0)</f>
        <v>0</v>
      </c>
      <c r="BC28" s="299">
        <f t="shared" ca="1" si="41"/>
        <v>0</v>
      </c>
      <c r="BD28" s="219">
        <f t="shared" ca="1" si="37"/>
        <v>1</v>
      </c>
      <c r="BE28" s="303">
        <f ca="1">IF(B28="","",INDIRECT(ADDRESS(MATCH(B28,Soll_AZ,1)+MATCH("Arbeitszeit 1 ab",Voreinstellung_Übersicht!B:B,0)-1,4,,,"Voreinstellung_Übersicht"),TRUE))</f>
        <v>1.6666666666666665</v>
      </c>
      <c r="BF28" s="1">
        <f t="shared" si="42"/>
        <v>0</v>
      </c>
    </row>
    <row r="29" spans="1:58" s="1" customFormat="1" ht="15" x14ac:dyDescent="0.3">
      <c r="A29" s="218">
        <f t="shared" si="0"/>
        <v>17</v>
      </c>
      <c r="B29" s="47">
        <f t="shared" si="38"/>
        <v>42115</v>
      </c>
      <c r="C29" s="219">
        <f t="shared" si="1"/>
        <v>0</v>
      </c>
      <c r="D29" s="220" t="str">
        <f t="shared" si="2"/>
        <v>Ostermontag</v>
      </c>
      <c r="E29" s="298" t="str">
        <f t="shared" si="3"/>
        <v>Ostermontag</v>
      </c>
      <c r="F29" s="87">
        <f t="shared" si="4"/>
        <v>42115</v>
      </c>
      <c r="G29" s="147"/>
      <c r="H29" s="74"/>
      <c r="I29" s="75"/>
      <c r="J29" s="221">
        <f t="shared" si="5"/>
        <v>0</v>
      </c>
      <c r="K29" s="76"/>
      <c r="L29" s="221">
        <f t="shared" si="43"/>
        <v>0</v>
      </c>
      <c r="M29" s="74"/>
      <c r="N29" s="75"/>
      <c r="O29" s="221">
        <f t="shared" si="6"/>
        <v>0</v>
      </c>
      <c r="P29" s="76"/>
      <c r="Q29" s="221">
        <f t="shared" si="44"/>
        <v>0</v>
      </c>
      <c r="R29" s="221">
        <f t="shared" si="45"/>
        <v>0</v>
      </c>
      <c r="S29" s="221">
        <f t="shared" si="7"/>
        <v>0</v>
      </c>
      <c r="T29" s="79">
        <f t="shared" si="8"/>
        <v>0</v>
      </c>
      <c r="U29" s="79">
        <f t="shared" si="39"/>
        <v>0</v>
      </c>
      <c r="V29" s="80">
        <f t="shared" si="9"/>
        <v>0</v>
      </c>
      <c r="W29" s="249" t="str">
        <f t="shared" si="10"/>
        <v/>
      </c>
      <c r="X29" s="293"/>
      <c r="Y29" s="221">
        <f t="shared" si="11"/>
        <v>0</v>
      </c>
      <c r="Z29" s="299">
        <f ca="1">IF(B29="","",INDIRECT(ADDRESS(MATCH(B29,Soll_AZ,1)+MATCH("Arbeitszeit 1 ab",Voreinstellung_Übersicht!B:B,0)-1,WEEKDAY(B29,2)+4,,,"Voreinstellung_Übersicht"),TRUE))</f>
        <v>0.33333333333333331</v>
      </c>
      <c r="AA29" s="300">
        <f t="shared" ca="1" si="40"/>
        <v>0</v>
      </c>
      <c r="AB29" s="219">
        <f t="shared" si="12"/>
        <v>0</v>
      </c>
      <c r="AC29" s="219">
        <f t="shared" si="13"/>
        <v>0</v>
      </c>
      <c r="AD29" s="219">
        <f t="shared" si="14"/>
        <v>0</v>
      </c>
      <c r="AE29" s="219">
        <f t="shared" si="15"/>
        <v>0</v>
      </c>
      <c r="AF29" s="219">
        <f t="shared" si="16"/>
        <v>0</v>
      </c>
      <c r="AG29" s="219">
        <f t="shared" si="17"/>
        <v>0</v>
      </c>
      <c r="AH29" s="219">
        <f t="shared" si="18"/>
        <v>0</v>
      </c>
      <c r="AI29" s="219">
        <f t="shared" si="19"/>
        <v>0</v>
      </c>
      <c r="AJ29" s="219">
        <f t="shared" si="20"/>
        <v>0</v>
      </c>
      <c r="AK29" s="219">
        <f t="shared" si="21"/>
        <v>0</v>
      </c>
      <c r="AL29" s="219">
        <f t="shared" si="22"/>
        <v>0</v>
      </c>
      <c r="AM29" s="219">
        <f t="shared" si="23"/>
        <v>0</v>
      </c>
      <c r="AN29" s="301">
        <f t="shared" si="24"/>
        <v>0</v>
      </c>
      <c r="AO29" s="301">
        <f t="shared" si="25"/>
        <v>0</v>
      </c>
      <c r="AP29" s="301">
        <f t="shared" si="26"/>
        <v>0</v>
      </c>
      <c r="AQ29" s="301">
        <f t="shared" si="27"/>
        <v>0</v>
      </c>
      <c r="AR29" s="301">
        <f t="shared" si="28"/>
        <v>0</v>
      </c>
      <c r="AS29" s="301">
        <f t="shared" si="29"/>
        <v>0</v>
      </c>
      <c r="AT29" s="302">
        <f t="shared" si="30"/>
        <v>0</v>
      </c>
      <c r="AU29" s="302">
        <f t="shared" si="31"/>
        <v>0</v>
      </c>
      <c r="AV29" s="81">
        <f t="shared" si="32"/>
        <v>0</v>
      </c>
      <c r="AW29" s="82">
        <f t="shared" si="33"/>
        <v>0</v>
      </c>
      <c r="AX29" s="81">
        <f t="shared" si="34"/>
        <v>0</v>
      </c>
      <c r="AY29" s="83">
        <f t="shared" si="35"/>
        <v>0</v>
      </c>
      <c r="AZ29" s="83">
        <f t="shared" si="36"/>
        <v>0</v>
      </c>
      <c r="BA29" s="82">
        <f>IF(OR(B29=Feiertage!$A$16,B29=Feiertage!$A$19),U29*Zuschläge_24_31/100,IF(AZ29&gt;0,AZ29*Feiertag_mit/100,IF(AX29&gt;0,AX29*Zuschläge_Sa/100,IF(AY29&gt;0,AY29*Zuschlag_So/100,0))))</f>
        <v>0</v>
      </c>
      <c r="BB29" s="82">
        <f>IF(AND(B29&lt;&gt;0,G29=Voreinstellung_Übersicht!$D$41),IF(EG=1,W29*Über_klein/100,IF(EG=2,W29*Über_groß/100,"Fehler")),0)</f>
        <v>0</v>
      </c>
      <c r="BC29" s="299">
        <f t="shared" ca="1" si="41"/>
        <v>0</v>
      </c>
      <c r="BD29" s="219">
        <f t="shared" ca="1" si="37"/>
        <v>1</v>
      </c>
      <c r="BE29" s="303">
        <f ca="1">IF(B29="","",INDIRECT(ADDRESS(MATCH(B29,Soll_AZ,1)+MATCH("Arbeitszeit 1 ab",Voreinstellung_Übersicht!B:B,0)-1,4,,,"Voreinstellung_Übersicht"),TRUE))</f>
        <v>1.6666666666666665</v>
      </c>
      <c r="BF29" s="1">
        <f t="shared" si="42"/>
        <v>0</v>
      </c>
    </row>
    <row r="30" spans="1:58" s="1" customFormat="1" ht="15" x14ac:dyDescent="0.3">
      <c r="A30" s="218">
        <f t="shared" si="0"/>
        <v>17</v>
      </c>
      <c r="B30" s="47">
        <f t="shared" si="38"/>
        <v>42116</v>
      </c>
      <c r="C30" s="219">
        <f t="shared" si="1"/>
        <v>1</v>
      </c>
      <c r="D30" s="220" t="str">
        <f t="shared" si="2"/>
        <v/>
      </c>
      <c r="E30" s="298" t="str">
        <f t="shared" si="3"/>
        <v/>
      </c>
      <c r="F30" s="87">
        <f t="shared" si="4"/>
        <v>42116</v>
      </c>
      <c r="G30" s="147"/>
      <c r="H30" s="74"/>
      <c r="I30" s="75"/>
      <c r="J30" s="221">
        <f t="shared" si="5"/>
        <v>0</v>
      </c>
      <c r="K30" s="76"/>
      <c r="L30" s="221">
        <f t="shared" si="43"/>
        <v>0</v>
      </c>
      <c r="M30" s="74"/>
      <c r="N30" s="75"/>
      <c r="O30" s="221">
        <f t="shared" si="6"/>
        <v>0</v>
      </c>
      <c r="P30" s="76"/>
      <c r="Q30" s="221">
        <f t="shared" si="44"/>
        <v>0</v>
      </c>
      <c r="R30" s="221">
        <f t="shared" si="45"/>
        <v>0</v>
      </c>
      <c r="S30" s="221">
        <f t="shared" si="7"/>
        <v>0</v>
      </c>
      <c r="T30" s="79">
        <f t="shared" si="8"/>
        <v>0</v>
      </c>
      <c r="U30" s="79">
        <f t="shared" si="39"/>
        <v>0</v>
      </c>
      <c r="V30" s="80">
        <f t="shared" ca="1" si="9"/>
        <v>0.33333333329999998</v>
      </c>
      <c r="W30" s="249" t="str">
        <f t="shared" ca="1" si="10"/>
        <v/>
      </c>
      <c r="X30" s="293"/>
      <c r="Y30" s="221">
        <f t="shared" si="11"/>
        <v>0</v>
      </c>
      <c r="Z30" s="299">
        <f ca="1">IF(B30="","",INDIRECT(ADDRESS(MATCH(B30,Soll_AZ,1)+MATCH("Arbeitszeit 1 ab",Voreinstellung_Übersicht!B:B,0)-1,WEEKDAY(B30,2)+4,,,"Voreinstellung_Übersicht"),TRUE))</f>
        <v>0.33333333333333331</v>
      </c>
      <c r="AA30" s="300">
        <f t="shared" ca="1" si="40"/>
        <v>0</v>
      </c>
      <c r="AB30" s="219">
        <f t="shared" si="12"/>
        <v>0</v>
      </c>
      <c r="AC30" s="219">
        <f t="shared" si="13"/>
        <v>0</v>
      </c>
      <c r="AD30" s="219">
        <f t="shared" si="14"/>
        <v>0</v>
      </c>
      <c r="AE30" s="219">
        <f t="shared" si="15"/>
        <v>0</v>
      </c>
      <c r="AF30" s="219">
        <f t="shared" si="16"/>
        <v>0</v>
      </c>
      <c r="AG30" s="219">
        <f t="shared" si="17"/>
        <v>0</v>
      </c>
      <c r="AH30" s="219">
        <f t="shared" si="18"/>
        <v>0</v>
      </c>
      <c r="AI30" s="219">
        <f t="shared" si="19"/>
        <v>0</v>
      </c>
      <c r="AJ30" s="219">
        <f t="shared" si="20"/>
        <v>0</v>
      </c>
      <c r="AK30" s="219">
        <f t="shared" si="21"/>
        <v>0</v>
      </c>
      <c r="AL30" s="219">
        <f t="shared" si="22"/>
        <v>0</v>
      </c>
      <c r="AM30" s="219">
        <f t="shared" si="23"/>
        <v>0</v>
      </c>
      <c r="AN30" s="301">
        <f t="shared" si="24"/>
        <v>0</v>
      </c>
      <c r="AO30" s="301">
        <f t="shared" si="25"/>
        <v>0</v>
      </c>
      <c r="AP30" s="301">
        <f t="shared" si="26"/>
        <v>0</v>
      </c>
      <c r="AQ30" s="301">
        <f t="shared" si="27"/>
        <v>0</v>
      </c>
      <c r="AR30" s="301">
        <f t="shared" si="28"/>
        <v>0</v>
      </c>
      <c r="AS30" s="301">
        <f t="shared" si="29"/>
        <v>0</v>
      </c>
      <c r="AT30" s="302">
        <f t="shared" si="30"/>
        <v>0</v>
      </c>
      <c r="AU30" s="302">
        <f t="shared" si="31"/>
        <v>0</v>
      </c>
      <c r="AV30" s="81">
        <f t="shared" si="32"/>
        <v>0</v>
      </c>
      <c r="AW30" s="82">
        <f t="shared" si="33"/>
        <v>0</v>
      </c>
      <c r="AX30" s="81">
        <f t="shared" si="34"/>
        <v>0</v>
      </c>
      <c r="AY30" s="83">
        <f t="shared" si="35"/>
        <v>0</v>
      </c>
      <c r="AZ30" s="83">
        <f t="shared" si="36"/>
        <v>0</v>
      </c>
      <c r="BA30" s="82">
        <f>IF(OR(B30=Feiertage!$A$16,B30=Feiertage!$A$19),U30*Zuschläge_24_31/100,IF(AZ30&gt;0,AZ30*Feiertag_mit/100,IF(AX30&gt;0,AX30*Zuschläge_Sa/100,IF(AY30&gt;0,AY30*Zuschlag_So/100,0))))</f>
        <v>0</v>
      </c>
      <c r="BB30" s="82">
        <f>IF(AND(B30&lt;&gt;0,G30=Voreinstellung_Übersicht!$D$41),IF(EG=1,W30*Über_klein/100,IF(EG=2,W30*Über_groß/100,"Fehler")),0)</f>
        <v>0</v>
      </c>
      <c r="BC30" s="299">
        <f t="shared" ca="1" si="41"/>
        <v>0</v>
      </c>
      <c r="BD30" s="219">
        <f t="shared" ca="1" si="37"/>
        <v>1</v>
      </c>
      <c r="BE30" s="303">
        <f ca="1">IF(B30="","",INDIRECT(ADDRESS(MATCH(B30,Soll_AZ,1)+MATCH("Arbeitszeit 1 ab",Voreinstellung_Übersicht!B:B,0)-1,4,,,"Voreinstellung_Übersicht"),TRUE))</f>
        <v>1.6666666666666665</v>
      </c>
      <c r="BF30" s="1">
        <f t="shared" si="42"/>
        <v>0</v>
      </c>
    </row>
    <row r="31" spans="1:58" s="1" customFormat="1" ht="15" x14ac:dyDescent="0.3">
      <c r="A31" s="218">
        <f t="shared" si="0"/>
        <v>17</v>
      </c>
      <c r="B31" s="47">
        <f t="shared" si="38"/>
        <v>42117</v>
      </c>
      <c r="C31" s="219">
        <f t="shared" si="1"/>
        <v>1</v>
      </c>
      <c r="D31" s="220" t="str">
        <f t="shared" si="2"/>
        <v/>
      </c>
      <c r="E31" s="298" t="str">
        <f t="shared" si="3"/>
        <v/>
      </c>
      <c r="F31" s="87">
        <f t="shared" si="4"/>
        <v>42117</v>
      </c>
      <c r="G31" s="147"/>
      <c r="H31" s="74"/>
      <c r="I31" s="75"/>
      <c r="J31" s="221">
        <f t="shared" si="5"/>
        <v>0</v>
      </c>
      <c r="K31" s="76"/>
      <c r="L31" s="221">
        <f t="shared" si="43"/>
        <v>0</v>
      </c>
      <c r="M31" s="74"/>
      <c r="N31" s="75"/>
      <c r="O31" s="221">
        <f t="shared" si="6"/>
        <v>0</v>
      </c>
      <c r="P31" s="76"/>
      <c r="Q31" s="221">
        <f t="shared" si="44"/>
        <v>0</v>
      </c>
      <c r="R31" s="221">
        <f t="shared" si="45"/>
        <v>0</v>
      </c>
      <c r="S31" s="221">
        <f t="shared" si="7"/>
        <v>0</v>
      </c>
      <c r="T31" s="79">
        <f t="shared" si="8"/>
        <v>0</v>
      </c>
      <c r="U31" s="79">
        <f t="shared" si="39"/>
        <v>0</v>
      </c>
      <c r="V31" s="80">
        <f t="shared" ca="1" si="9"/>
        <v>0.33333333329999998</v>
      </c>
      <c r="W31" s="249" t="str">
        <f t="shared" ca="1" si="10"/>
        <v/>
      </c>
      <c r="X31" s="293"/>
      <c r="Y31" s="221">
        <f t="shared" si="11"/>
        <v>0</v>
      </c>
      <c r="Z31" s="299">
        <f ca="1">IF(B31="","",INDIRECT(ADDRESS(MATCH(B31,Soll_AZ,1)+MATCH("Arbeitszeit 1 ab",Voreinstellung_Übersicht!B:B,0)-1,WEEKDAY(B31,2)+4,,,"Voreinstellung_Übersicht"),TRUE))</f>
        <v>0.33333333333333331</v>
      </c>
      <c r="AA31" s="300">
        <f t="shared" ca="1" si="40"/>
        <v>0</v>
      </c>
      <c r="AB31" s="219">
        <f t="shared" si="12"/>
        <v>0</v>
      </c>
      <c r="AC31" s="219">
        <f t="shared" si="13"/>
        <v>0</v>
      </c>
      <c r="AD31" s="219">
        <f t="shared" si="14"/>
        <v>0</v>
      </c>
      <c r="AE31" s="219">
        <f t="shared" si="15"/>
        <v>0</v>
      </c>
      <c r="AF31" s="219">
        <f t="shared" si="16"/>
        <v>0</v>
      </c>
      <c r="AG31" s="219">
        <f t="shared" si="17"/>
        <v>0</v>
      </c>
      <c r="AH31" s="219">
        <f t="shared" si="18"/>
        <v>0</v>
      </c>
      <c r="AI31" s="219">
        <f t="shared" si="19"/>
        <v>0</v>
      </c>
      <c r="AJ31" s="219">
        <f t="shared" si="20"/>
        <v>0</v>
      </c>
      <c r="AK31" s="219">
        <f t="shared" si="21"/>
        <v>0</v>
      </c>
      <c r="AL31" s="219">
        <f t="shared" si="22"/>
        <v>0</v>
      </c>
      <c r="AM31" s="219">
        <f t="shared" si="23"/>
        <v>0</v>
      </c>
      <c r="AN31" s="301">
        <f t="shared" si="24"/>
        <v>0</v>
      </c>
      <c r="AO31" s="301">
        <f t="shared" si="25"/>
        <v>0</v>
      </c>
      <c r="AP31" s="301">
        <f t="shared" si="26"/>
        <v>0</v>
      </c>
      <c r="AQ31" s="301">
        <f t="shared" si="27"/>
        <v>0</v>
      </c>
      <c r="AR31" s="301">
        <f t="shared" si="28"/>
        <v>0</v>
      </c>
      <c r="AS31" s="301">
        <f t="shared" si="29"/>
        <v>0</v>
      </c>
      <c r="AT31" s="302">
        <f t="shared" si="30"/>
        <v>0</v>
      </c>
      <c r="AU31" s="302">
        <f t="shared" si="31"/>
        <v>0</v>
      </c>
      <c r="AV31" s="81">
        <f t="shared" si="32"/>
        <v>0</v>
      </c>
      <c r="AW31" s="82">
        <f t="shared" si="33"/>
        <v>0</v>
      </c>
      <c r="AX31" s="81">
        <f t="shared" si="34"/>
        <v>0</v>
      </c>
      <c r="AY31" s="83">
        <f t="shared" si="35"/>
        <v>0</v>
      </c>
      <c r="AZ31" s="83">
        <f t="shared" si="36"/>
        <v>0</v>
      </c>
      <c r="BA31" s="82">
        <f>IF(OR(B31=Feiertage!$A$16,B31=Feiertage!$A$19),U31*Zuschläge_24_31/100,IF(AZ31&gt;0,AZ31*Feiertag_mit/100,IF(AX31&gt;0,AX31*Zuschläge_Sa/100,IF(AY31&gt;0,AY31*Zuschlag_So/100,0))))</f>
        <v>0</v>
      </c>
      <c r="BB31" s="82">
        <f>IF(AND(B31&lt;&gt;0,G31=Voreinstellung_Übersicht!$D$41),IF(EG=1,W31*Über_klein/100,IF(EG=2,W31*Über_groß/100,"Fehler")),0)</f>
        <v>0</v>
      </c>
      <c r="BC31" s="299">
        <f t="shared" ca="1" si="41"/>
        <v>0</v>
      </c>
      <c r="BD31" s="219">
        <f t="shared" ca="1" si="37"/>
        <v>1</v>
      </c>
      <c r="BE31" s="303">
        <f ca="1">IF(B31="","",INDIRECT(ADDRESS(MATCH(B31,Soll_AZ,1)+MATCH("Arbeitszeit 1 ab",Voreinstellung_Übersicht!B:B,0)-1,4,,,"Voreinstellung_Übersicht"),TRUE))</f>
        <v>1.6666666666666665</v>
      </c>
      <c r="BF31" s="1">
        <f t="shared" si="42"/>
        <v>0</v>
      </c>
    </row>
    <row r="32" spans="1:58" s="1" customFormat="1" ht="15" x14ac:dyDescent="0.3">
      <c r="A32" s="218">
        <f t="shared" si="0"/>
        <v>17</v>
      </c>
      <c r="B32" s="47">
        <f t="shared" si="38"/>
        <v>42118</v>
      </c>
      <c r="C32" s="219">
        <f t="shared" si="1"/>
        <v>1</v>
      </c>
      <c r="D32" s="220" t="str">
        <f t="shared" si="2"/>
        <v/>
      </c>
      <c r="E32" s="298" t="str">
        <f t="shared" si="3"/>
        <v/>
      </c>
      <c r="F32" s="87">
        <f t="shared" si="4"/>
        <v>42118</v>
      </c>
      <c r="G32" s="147"/>
      <c r="H32" s="74"/>
      <c r="I32" s="75"/>
      <c r="J32" s="221">
        <f t="shared" si="5"/>
        <v>0</v>
      </c>
      <c r="K32" s="76"/>
      <c r="L32" s="221">
        <f t="shared" si="43"/>
        <v>0</v>
      </c>
      <c r="M32" s="74"/>
      <c r="N32" s="75"/>
      <c r="O32" s="221">
        <f t="shared" si="6"/>
        <v>0</v>
      </c>
      <c r="P32" s="76"/>
      <c r="Q32" s="221">
        <f t="shared" si="44"/>
        <v>0</v>
      </c>
      <c r="R32" s="221">
        <f t="shared" si="45"/>
        <v>0</v>
      </c>
      <c r="S32" s="221">
        <f t="shared" si="7"/>
        <v>0</v>
      </c>
      <c r="T32" s="79">
        <f t="shared" si="8"/>
        <v>0</v>
      </c>
      <c r="U32" s="79">
        <f t="shared" si="39"/>
        <v>0</v>
      </c>
      <c r="V32" s="80">
        <f t="shared" ca="1" si="9"/>
        <v>0.33333333329999998</v>
      </c>
      <c r="W32" s="249" t="str">
        <f t="shared" ca="1" si="10"/>
        <v/>
      </c>
      <c r="X32" s="293"/>
      <c r="Y32" s="221">
        <f t="shared" si="11"/>
        <v>0</v>
      </c>
      <c r="Z32" s="299">
        <f ca="1">IF(B32="","",INDIRECT(ADDRESS(MATCH(B32,Soll_AZ,1)+MATCH("Arbeitszeit 1 ab",Voreinstellung_Übersicht!B:B,0)-1,WEEKDAY(B32,2)+4,,,"Voreinstellung_Übersicht"),TRUE))</f>
        <v>0.33333333333333331</v>
      </c>
      <c r="AA32" s="300">
        <f t="shared" ca="1" si="40"/>
        <v>0</v>
      </c>
      <c r="AB32" s="219">
        <f t="shared" si="12"/>
        <v>0</v>
      </c>
      <c r="AC32" s="219">
        <f t="shared" si="13"/>
        <v>0</v>
      </c>
      <c r="AD32" s="219">
        <f t="shared" si="14"/>
        <v>0</v>
      </c>
      <c r="AE32" s="219">
        <f t="shared" si="15"/>
        <v>0</v>
      </c>
      <c r="AF32" s="219">
        <f t="shared" si="16"/>
        <v>0</v>
      </c>
      <c r="AG32" s="219">
        <f t="shared" si="17"/>
        <v>0</v>
      </c>
      <c r="AH32" s="219">
        <f t="shared" si="18"/>
        <v>0</v>
      </c>
      <c r="AI32" s="219">
        <f t="shared" si="19"/>
        <v>0</v>
      </c>
      <c r="AJ32" s="219">
        <f t="shared" si="20"/>
        <v>0</v>
      </c>
      <c r="AK32" s="219">
        <f t="shared" si="21"/>
        <v>0</v>
      </c>
      <c r="AL32" s="219">
        <f t="shared" si="22"/>
        <v>0</v>
      </c>
      <c r="AM32" s="219">
        <f t="shared" si="23"/>
        <v>0</v>
      </c>
      <c r="AN32" s="301">
        <f t="shared" si="24"/>
        <v>0</v>
      </c>
      <c r="AO32" s="301">
        <f t="shared" si="25"/>
        <v>0</v>
      </c>
      <c r="AP32" s="301">
        <f t="shared" si="26"/>
        <v>0</v>
      </c>
      <c r="AQ32" s="301">
        <f t="shared" si="27"/>
        <v>0</v>
      </c>
      <c r="AR32" s="301">
        <f t="shared" si="28"/>
        <v>0</v>
      </c>
      <c r="AS32" s="301">
        <f t="shared" si="29"/>
        <v>0</v>
      </c>
      <c r="AT32" s="302">
        <f t="shared" si="30"/>
        <v>0</v>
      </c>
      <c r="AU32" s="302">
        <f t="shared" si="31"/>
        <v>0</v>
      </c>
      <c r="AV32" s="81">
        <f t="shared" si="32"/>
        <v>0</v>
      </c>
      <c r="AW32" s="82">
        <f t="shared" si="33"/>
        <v>0</v>
      </c>
      <c r="AX32" s="81">
        <f t="shared" si="34"/>
        <v>0</v>
      </c>
      <c r="AY32" s="83">
        <f t="shared" si="35"/>
        <v>0</v>
      </c>
      <c r="AZ32" s="83">
        <f t="shared" si="36"/>
        <v>0</v>
      </c>
      <c r="BA32" s="82">
        <f>IF(OR(B32=Feiertage!$A$16,B32=Feiertage!$A$19),U32*Zuschläge_24_31/100,IF(AZ32&gt;0,AZ32*Feiertag_mit/100,IF(AX32&gt;0,AX32*Zuschläge_Sa/100,IF(AY32&gt;0,AY32*Zuschlag_So/100,0))))</f>
        <v>0</v>
      </c>
      <c r="BB32" s="82">
        <f>IF(AND(B32&lt;&gt;0,G32=Voreinstellung_Übersicht!$D$41),IF(EG=1,W32*Über_klein/100,IF(EG=2,W32*Über_groß/100,"Fehler")),0)</f>
        <v>0</v>
      </c>
      <c r="BC32" s="299">
        <f t="shared" ca="1" si="41"/>
        <v>0</v>
      </c>
      <c r="BD32" s="219">
        <f t="shared" ca="1" si="37"/>
        <v>1</v>
      </c>
      <c r="BE32" s="303">
        <f ca="1">IF(B32="","",INDIRECT(ADDRESS(MATCH(B32,Soll_AZ,1)+MATCH("Arbeitszeit 1 ab",Voreinstellung_Übersicht!B:B,0)-1,4,,,"Voreinstellung_Übersicht"),TRUE))</f>
        <v>1.6666666666666665</v>
      </c>
      <c r="BF32" s="1">
        <f t="shared" si="42"/>
        <v>0</v>
      </c>
    </row>
    <row r="33" spans="1:104" s="1" customFormat="1" ht="15" x14ac:dyDescent="0.3">
      <c r="A33" s="218">
        <f t="shared" si="0"/>
        <v>17</v>
      </c>
      <c r="B33" s="47">
        <f t="shared" si="38"/>
        <v>42119</v>
      </c>
      <c r="C33" s="219">
        <f t="shared" si="1"/>
        <v>1</v>
      </c>
      <c r="D33" s="220" t="str">
        <f t="shared" si="2"/>
        <v/>
      </c>
      <c r="E33" s="298" t="str">
        <f t="shared" si="3"/>
        <v/>
      </c>
      <c r="F33" s="87">
        <f t="shared" si="4"/>
        <v>42119</v>
      </c>
      <c r="G33" s="147"/>
      <c r="H33" s="74"/>
      <c r="I33" s="75"/>
      <c r="J33" s="221">
        <f t="shared" si="5"/>
        <v>0</v>
      </c>
      <c r="K33" s="76"/>
      <c r="L33" s="221">
        <f t="shared" si="43"/>
        <v>0</v>
      </c>
      <c r="M33" s="74"/>
      <c r="N33" s="75"/>
      <c r="O33" s="221">
        <f t="shared" si="6"/>
        <v>0</v>
      </c>
      <c r="P33" s="76"/>
      <c r="Q33" s="221">
        <f t="shared" si="44"/>
        <v>0</v>
      </c>
      <c r="R33" s="221">
        <f t="shared" si="45"/>
        <v>0</v>
      </c>
      <c r="S33" s="221">
        <f t="shared" si="7"/>
        <v>0</v>
      </c>
      <c r="T33" s="79">
        <f t="shared" si="8"/>
        <v>0</v>
      </c>
      <c r="U33" s="79">
        <f t="shared" si="39"/>
        <v>0</v>
      </c>
      <c r="V33" s="80">
        <f t="shared" ca="1" si="9"/>
        <v>0.33333333329999998</v>
      </c>
      <c r="W33" s="249" t="str">
        <f t="shared" ca="1" si="10"/>
        <v/>
      </c>
      <c r="X33" s="293"/>
      <c r="Y33" s="221">
        <f t="shared" si="11"/>
        <v>0</v>
      </c>
      <c r="Z33" s="299">
        <f ca="1">IF(B33="","",INDIRECT(ADDRESS(MATCH(B33,Soll_AZ,1)+MATCH("Arbeitszeit 1 ab",Voreinstellung_Übersicht!B:B,0)-1,WEEKDAY(B33,2)+4,,,"Voreinstellung_Übersicht"),TRUE))</f>
        <v>0.33333333333333331</v>
      </c>
      <c r="AA33" s="300">
        <f t="shared" ca="1" si="40"/>
        <v>0</v>
      </c>
      <c r="AB33" s="219">
        <f t="shared" si="12"/>
        <v>0</v>
      </c>
      <c r="AC33" s="219">
        <f t="shared" si="13"/>
        <v>0</v>
      </c>
      <c r="AD33" s="219">
        <f t="shared" si="14"/>
        <v>0</v>
      </c>
      <c r="AE33" s="219">
        <f t="shared" si="15"/>
        <v>0</v>
      </c>
      <c r="AF33" s="219">
        <f t="shared" si="16"/>
        <v>0</v>
      </c>
      <c r="AG33" s="219">
        <f t="shared" si="17"/>
        <v>0</v>
      </c>
      <c r="AH33" s="219">
        <f t="shared" si="18"/>
        <v>0</v>
      </c>
      <c r="AI33" s="219">
        <f t="shared" si="19"/>
        <v>0</v>
      </c>
      <c r="AJ33" s="219">
        <f t="shared" si="20"/>
        <v>0</v>
      </c>
      <c r="AK33" s="219">
        <f t="shared" si="21"/>
        <v>0</v>
      </c>
      <c r="AL33" s="219">
        <f t="shared" si="22"/>
        <v>0</v>
      </c>
      <c r="AM33" s="219">
        <f t="shared" si="23"/>
        <v>0</v>
      </c>
      <c r="AN33" s="301">
        <f t="shared" si="24"/>
        <v>0</v>
      </c>
      <c r="AO33" s="301">
        <f t="shared" si="25"/>
        <v>0</v>
      </c>
      <c r="AP33" s="301">
        <f t="shared" si="26"/>
        <v>0</v>
      </c>
      <c r="AQ33" s="301">
        <f t="shared" si="27"/>
        <v>0</v>
      </c>
      <c r="AR33" s="301">
        <f t="shared" si="28"/>
        <v>0</v>
      </c>
      <c r="AS33" s="301">
        <f t="shared" si="29"/>
        <v>0</v>
      </c>
      <c r="AT33" s="302">
        <f t="shared" si="30"/>
        <v>0</v>
      </c>
      <c r="AU33" s="302">
        <f t="shared" si="31"/>
        <v>0</v>
      </c>
      <c r="AV33" s="81">
        <f t="shared" si="32"/>
        <v>0</v>
      </c>
      <c r="AW33" s="82">
        <f t="shared" si="33"/>
        <v>0</v>
      </c>
      <c r="AX33" s="81">
        <f t="shared" si="34"/>
        <v>0</v>
      </c>
      <c r="AY33" s="83">
        <f t="shared" si="35"/>
        <v>0</v>
      </c>
      <c r="AZ33" s="83">
        <f t="shared" si="36"/>
        <v>0</v>
      </c>
      <c r="BA33" s="82">
        <f>IF(OR(B33=Feiertage!$A$16,B33=Feiertage!$A$19),U33*Zuschläge_24_31/100,IF(AZ33&gt;0,AZ33*Feiertag_mit/100,IF(AX33&gt;0,AX33*Zuschläge_Sa/100,IF(AY33&gt;0,AY33*Zuschlag_So/100,0))))</f>
        <v>0</v>
      </c>
      <c r="BB33" s="82">
        <f>IF(AND(B33&lt;&gt;0,G33=Voreinstellung_Übersicht!$D$41),IF(EG=1,W33*Über_klein/100,IF(EG=2,W33*Über_groß/100,"Fehler")),0)</f>
        <v>0</v>
      </c>
      <c r="BC33" s="299">
        <f t="shared" ca="1" si="41"/>
        <v>0</v>
      </c>
      <c r="BD33" s="219">
        <f t="shared" ca="1" si="37"/>
        <v>1</v>
      </c>
      <c r="BE33" s="303">
        <f ca="1">IF(B33="","",INDIRECT(ADDRESS(MATCH(B33,Soll_AZ,1)+MATCH("Arbeitszeit 1 ab",Voreinstellung_Übersicht!B:B,0)-1,4,,,"Voreinstellung_Übersicht"),TRUE))</f>
        <v>1.6666666666666665</v>
      </c>
      <c r="BF33" s="1">
        <f t="shared" si="42"/>
        <v>0</v>
      </c>
    </row>
    <row r="34" spans="1:104" s="1" customFormat="1" ht="15" x14ac:dyDescent="0.3">
      <c r="A34" s="218">
        <f t="shared" si="0"/>
        <v>17</v>
      </c>
      <c r="B34" s="47">
        <f t="shared" si="38"/>
        <v>42120</v>
      </c>
      <c r="C34" s="219">
        <f t="shared" si="1"/>
        <v>0</v>
      </c>
      <c r="D34" s="220" t="str">
        <f t="shared" si="2"/>
        <v/>
      </c>
      <c r="E34" s="298" t="str">
        <f t="shared" si="3"/>
        <v/>
      </c>
      <c r="F34" s="87">
        <f t="shared" si="4"/>
        <v>42120</v>
      </c>
      <c r="G34" s="147"/>
      <c r="H34" s="74"/>
      <c r="I34" s="75"/>
      <c r="J34" s="221">
        <f t="shared" si="5"/>
        <v>0</v>
      </c>
      <c r="K34" s="76"/>
      <c r="L34" s="221">
        <f t="shared" si="43"/>
        <v>0</v>
      </c>
      <c r="M34" s="74"/>
      <c r="N34" s="75"/>
      <c r="O34" s="221">
        <f t="shared" si="6"/>
        <v>0</v>
      </c>
      <c r="P34" s="76"/>
      <c r="Q34" s="221">
        <f t="shared" si="44"/>
        <v>0</v>
      </c>
      <c r="R34" s="221">
        <f t="shared" si="45"/>
        <v>0</v>
      </c>
      <c r="S34" s="221">
        <f t="shared" si="7"/>
        <v>0</v>
      </c>
      <c r="T34" s="79">
        <f t="shared" si="8"/>
        <v>0</v>
      </c>
      <c r="U34" s="79">
        <f t="shared" si="39"/>
        <v>0</v>
      </c>
      <c r="V34" s="80">
        <f t="shared" ca="1" si="9"/>
        <v>0</v>
      </c>
      <c r="W34" s="249" t="str">
        <f t="shared" ca="1" si="10"/>
        <v/>
      </c>
      <c r="X34" s="293"/>
      <c r="Y34" s="221">
        <f t="shared" si="11"/>
        <v>0</v>
      </c>
      <c r="Z34" s="299">
        <f ca="1">IF(B34="","",INDIRECT(ADDRESS(MATCH(B34,Soll_AZ,1)+MATCH("Arbeitszeit 1 ab",Voreinstellung_Übersicht!B:B,0)-1,WEEKDAY(B34,2)+4,,,"Voreinstellung_Übersicht"),TRUE))</f>
        <v>0</v>
      </c>
      <c r="AA34" s="300">
        <f t="shared" ca="1" si="40"/>
        <v>0</v>
      </c>
      <c r="AB34" s="219">
        <f t="shared" si="12"/>
        <v>0</v>
      </c>
      <c r="AC34" s="219">
        <f t="shared" si="13"/>
        <v>0</v>
      </c>
      <c r="AD34" s="219">
        <f t="shared" si="14"/>
        <v>0</v>
      </c>
      <c r="AE34" s="219">
        <f t="shared" si="15"/>
        <v>0</v>
      </c>
      <c r="AF34" s="219">
        <f t="shared" si="16"/>
        <v>0</v>
      </c>
      <c r="AG34" s="219">
        <f t="shared" si="17"/>
        <v>0</v>
      </c>
      <c r="AH34" s="219">
        <f t="shared" si="18"/>
        <v>0</v>
      </c>
      <c r="AI34" s="219">
        <f t="shared" si="19"/>
        <v>0</v>
      </c>
      <c r="AJ34" s="219">
        <f t="shared" si="20"/>
        <v>0</v>
      </c>
      <c r="AK34" s="219">
        <f t="shared" si="21"/>
        <v>0</v>
      </c>
      <c r="AL34" s="219">
        <f t="shared" si="22"/>
        <v>0</v>
      </c>
      <c r="AM34" s="219">
        <f t="shared" si="23"/>
        <v>0</v>
      </c>
      <c r="AN34" s="301">
        <f t="shared" si="24"/>
        <v>0</v>
      </c>
      <c r="AO34" s="301">
        <f t="shared" si="25"/>
        <v>0</v>
      </c>
      <c r="AP34" s="301">
        <f t="shared" si="26"/>
        <v>0</v>
      </c>
      <c r="AQ34" s="301">
        <f t="shared" si="27"/>
        <v>0</v>
      </c>
      <c r="AR34" s="301">
        <f t="shared" si="28"/>
        <v>0</v>
      </c>
      <c r="AS34" s="301">
        <f t="shared" si="29"/>
        <v>0</v>
      </c>
      <c r="AT34" s="302">
        <f t="shared" si="30"/>
        <v>0</v>
      </c>
      <c r="AU34" s="302">
        <f t="shared" si="31"/>
        <v>0</v>
      </c>
      <c r="AV34" s="81">
        <f t="shared" si="32"/>
        <v>0</v>
      </c>
      <c r="AW34" s="82">
        <f t="shared" si="33"/>
        <v>0</v>
      </c>
      <c r="AX34" s="81">
        <f t="shared" si="34"/>
        <v>0</v>
      </c>
      <c r="AY34" s="83">
        <f t="shared" si="35"/>
        <v>0</v>
      </c>
      <c r="AZ34" s="83">
        <f t="shared" si="36"/>
        <v>0</v>
      </c>
      <c r="BA34" s="82">
        <f>IF(OR(B34=Feiertage!$A$16,B34=Feiertage!$A$19),U34*Zuschläge_24_31/100,IF(AZ34&gt;0,AZ34*Feiertag_mit/100,IF(AX34&gt;0,AX34*Zuschläge_Sa/100,IF(AY34&gt;0,AY34*Zuschlag_So/100,0))))</f>
        <v>0</v>
      </c>
      <c r="BB34" s="82">
        <f>IF(AND(B34&lt;&gt;0,G34=Voreinstellung_Übersicht!$D$41),IF(EG=1,W34*Über_klein/100,IF(EG=2,W34*Über_groß/100,"Fehler")),0)</f>
        <v>0</v>
      </c>
      <c r="BC34" s="299">
        <f t="shared" ca="1" si="41"/>
        <v>0</v>
      </c>
      <c r="BD34" s="219">
        <f t="shared" ca="1" si="37"/>
        <v>1</v>
      </c>
      <c r="BE34" s="303">
        <f ca="1">IF(B34="","",INDIRECT(ADDRESS(MATCH(B34,Soll_AZ,1)+MATCH("Arbeitszeit 1 ab",Voreinstellung_Übersicht!B:B,0)-1,4,,,"Voreinstellung_Übersicht"),TRUE))</f>
        <v>1.6666666666666665</v>
      </c>
      <c r="BF34" s="1">
        <f t="shared" si="42"/>
        <v>0</v>
      </c>
    </row>
    <row r="35" spans="1:104" s="1" customFormat="1" ht="15" x14ac:dyDescent="0.3">
      <c r="A35" s="218">
        <f t="shared" si="0"/>
        <v>18</v>
      </c>
      <c r="B35" s="47">
        <f t="shared" si="38"/>
        <v>42121</v>
      </c>
      <c r="C35" s="219">
        <f t="shared" si="1"/>
        <v>0</v>
      </c>
      <c r="D35" s="220" t="str">
        <f t="shared" si="2"/>
        <v/>
      </c>
      <c r="E35" s="298" t="str">
        <f t="shared" si="3"/>
        <v/>
      </c>
      <c r="F35" s="87">
        <f t="shared" si="4"/>
        <v>42121</v>
      </c>
      <c r="G35" s="147"/>
      <c r="H35" s="74"/>
      <c r="I35" s="75"/>
      <c r="J35" s="221">
        <f t="shared" si="5"/>
        <v>0</v>
      </c>
      <c r="K35" s="76"/>
      <c r="L35" s="221">
        <f t="shared" si="43"/>
        <v>0</v>
      </c>
      <c r="M35" s="74"/>
      <c r="N35" s="75"/>
      <c r="O35" s="221">
        <f t="shared" si="6"/>
        <v>0</v>
      </c>
      <c r="P35" s="76"/>
      <c r="Q35" s="221">
        <f t="shared" si="44"/>
        <v>0</v>
      </c>
      <c r="R35" s="221">
        <f t="shared" si="45"/>
        <v>0</v>
      </c>
      <c r="S35" s="221">
        <f t="shared" si="7"/>
        <v>0</v>
      </c>
      <c r="T35" s="79">
        <f t="shared" si="8"/>
        <v>0</v>
      </c>
      <c r="U35" s="79">
        <f t="shared" si="39"/>
        <v>0</v>
      </c>
      <c r="V35" s="80">
        <f t="shared" ca="1" si="9"/>
        <v>0</v>
      </c>
      <c r="W35" s="249" t="str">
        <f t="shared" ca="1" si="10"/>
        <v/>
      </c>
      <c r="X35" s="293"/>
      <c r="Y35" s="221">
        <f t="shared" si="11"/>
        <v>0</v>
      </c>
      <c r="Z35" s="299">
        <f ca="1">IF(B35="","",INDIRECT(ADDRESS(MATCH(B35,Soll_AZ,1)+MATCH("Arbeitszeit 1 ab",Voreinstellung_Übersicht!B:B,0)-1,WEEKDAY(B35,2)+4,,,"Voreinstellung_Übersicht"),TRUE))</f>
        <v>0</v>
      </c>
      <c r="AA35" s="300">
        <f t="shared" ca="1" si="40"/>
        <v>0</v>
      </c>
      <c r="AB35" s="219">
        <f t="shared" si="12"/>
        <v>0</v>
      </c>
      <c r="AC35" s="219">
        <f t="shared" si="13"/>
        <v>0</v>
      </c>
      <c r="AD35" s="219">
        <f t="shared" si="14"/>
        <v>0</v>
      </c>
      <c r="AE35" s="219">
        <f t="shared" si="15"/>
        <v>0</v>
      </c>
      <c r="AF35" s="219">
        <f t="shared" si="16"/>
        <v>0</v>
      </c>
      <c r="AG35" s="219">
        <f t="shared" si="17"/>
        <v>0</v>
      </c>
      <c r="AH35" s="219">
        <f t="shared" si="18"/>
        <v>0</v>
      </c>
      <c r="AI35" s="219">
        <f t="shared" si="19"/>
        <v>0</v>
      </c>
      <c r="AJ35" s="219">
        <f t="shared" si="20"/>
        <v>0</v>
      </c>
      <c r="AK35" s="219">
        <f t="shared" si="21"/>
        <v>0</v>
      </c>
      <c r="AL35" s="219">
        <f t="shared" si="22"/>
        <v>0</v>
      </c>
      <c r="AM35" s="219">
        <f t="shared" si="23"/>
        <v>0</v>
      </c>
      <c r="AN35" s="301">
        <f t="shared" si="24"/>
        <v>0</v>
      </c>
      <c r="AO35" s="301">
        <f t="shared" si="25"/>
        <v>0</v>
      </c>
      <c r="AP35" s="301">
        <f t="shared" si="26"/>
        <v>0</v>
      </c>
      <c r="AQ35" s="301">
        <f t="shared" si="27"/>
        <v>0</v>
      </c>
      <c r="AR35" s="301">
        <f t="shared" si="28"/>
        <v>0</v>
      </c>
      <c r="AS35" s="301">
        <f t="shared" si="29"/>
        <v>0</v>
      </c>
      <c r="AT35" s="302">
        <f t="shared" si="30"/>
        <v>0</v>
      </c>
      <c r="AU35" s="302">
        <f t="shared" si="31"/>
        <v>0</v>
      </c>
      <c r="AV35" s="81">
        <f t="shared" si="32"/>
        <v>0</v>
      </c>
      <c r="AW35" s="82">
        <f t="shared" si="33"/>
        <v>0</v>
      </c>
      <c r="AX35" s="81">
        <f t="shared" si="34"/>
        <v>0</v>
      </c>
      <c r="AY35" s="83">
        <f t="shared" si="35"/>
        <v>0</v>
      </c>
      <c r="AZ35" s="83">
        <f t="shared" si="36"/>
        <v>0</v>
      </c>
      <c r="BA35" s="82">
        <f>IF(OR(B35=Feiertage!$A$16,B35=Feiertage!$A$19),U35*Zuschläge_24_31/100,IF(AZ35&gt;0,AZ35*Feiertag_mit/100,IF(AX35&gt;0,AX35*Zuschläge_Sa/100,IF(AY35&gt;0,AY35*Zuschlag_So/100,0))))</f>
        <v>0</v>
      </c>
      <c r="BB35" s="82">
        <f>IF(AND(B35&lt;&gt;0,G35=Voreinstellung_Übersicht!$D$41),IF(EG=1,W35*Über_klein/100,IF(EG=2,W35*Über_groß/100,"Fehler")),0)</f>
        <v>0</v>
      </c>
      <c r="BC35" s="299">
        <f t="shared" ca="1" si="41"/>
        <v>0</v>
      </c>
      <c r="BD35" s="219">
        <f t="shared" ca="1" si="37"/>
        <v>1</v>
      </c>
      <c r="BE35" s="303">
        <f ca="1">IF(B35="","",INDIRECT(ADDRESS(MATCH(B35,Soll_AZ,1)+MATCH("Arbeitszeit 1 ab",Voreinstellung_Übersicht!B:B,0)-1,4,,,"Voreinstellung_Übersicht"),TRUE))</f>
        <v>1.6666666666666665</v>
      </c>
      <c r="BF35" s="1">
        <f t="shared" si="42"/>
        <v>0</v>
      </c>
    </row>
    <row r="36" spans="1:104" s="1" customFormat="1" ht="15" x14ac:dyDescent="0.3">
      <c r="A36" s="218">
        <f t="shared" si="0"/>
        <v>18</v>
      </c>
      <c r="B36" s="47">
        <f t="shared" si="38"/>
        <v>42122</v>
      </c>
      <c r="C36" s="219">
        <f t="shared" si="1"/>
        <v>1</v>
      </c>
      <c r="D36" s="220" t="str">
        <f t="shared" si="2"/>
        <v/>
      </c>
      <c r="E36" s="298" t="str">
        <f t="shared" si="3"/>
        <v/>
      </c>
      <c r="F36" s="87">
        <f t="shared" si="4"/>
        <v>42122</v>
      </c>
      <c r="G36" s="147"/>
      <c r="H36" s="74"/>
      <c r="I36" s="75"/>
      <c r="J36" s="221">
        <f t="shared" si="5"/>
        <v>0</v>
      </c>
      <c r="K36" s="76"/>
      <c r="L36" s="221">
        <f t="shared" si="43"/>
        <v>0</v>
      </c>
      <c r="M36" s="74"/>
      <c r="N36" s="75"/>
      <c r="O36" s="221">
        <f t="shared" si="6"/>
        <v>0</v>
      </c>
      <c r="P36" s="76"/>
      <c r="Q36" s="221">
        <f t="shared" si="44"/>
        <v>0</v>
      </c>
      <c r="R36" s="221">
        <f t="shared" si="45"/>
        <v>0</v>
      </c>
      <c r="S36" s="221">
        <f t="shared" si="7"/>
        <v>0</v>
      </c>
      <c r="T36" s="79">
        <f t="shared" si="8"/>
        <v>0</v>
      </c>
      <c r="U36" s="79">
        <f t="shared" si="39"/>
        <v>0</v>
      </c>
      <c r="V36" s="80">
        <f t="shared" ca="1" si="9"/>
        <v>0.33333333329999998</v>
      </c>
      <c r="W36" s="249" t="str">
        <f t="shared" ca="1" si="10"/>
        <v/>
      </c>
      <c r="X36" s="293"/>
      <c r="Y36" s="221">
        <f t="shared" si="11"/>
        <v>0</v>
      </c>
      <c r="Z36" s="299">
        <f ca="1">IF(B36="","",INDIRECT(ADDRESS(MATCH(B36,Soll_AZ,1)+MATCH("Arbeitszeit 1 ab",Voreinstellung_Übersicht!B:B,0)-1,WEEKDAY(B36,2)+4,,,"Voreinstellung_Übersicht"),TRUE))</f>
        <v>0.33333333333333331</v>
      </c>
      <c r="AA36" s="300">
        <f t="shared" ca="1" si="40"/>
        <v>0</v>
      </c>
      <c r="AB36" s="219">
        <f t="shared" si="12"/>
        <v>0</v>
      </c>
      <c r="AC36" s="219">
        <f t="shared" si="13"/>
        <v>0</v>
      </c>
      <c r="AD36" s="219">
        <f t="shared" si="14"/>
        <v>0</v>
      </c>
      <c r="AE36" s="219">
        <f t="shared" si="15"/>
        <v>0</v>
      </c>
      <c r="AF36" s="219">
        <f t="shared" si="16"/>
        <v>0</v>
      </c>
      <c r="AG36" s="219">
        <f t="shared" si="17"/>
        <v>0</v>
      </c>
      <c r="AH36" s="219">
        <f t="shared" si="18"/>
        <v>0</v>
      </c>
      <c r="AI36" s="219">
        <f t="shared" si="19"/>
        <v>0</v>
      </c>
      <c r="AJ36" s="219">
        <f t="shared" si="20"/>
        <v>0</v>
      </c>
      <c r="AK36" s="219">
        <f t="shared" si="21"/>
        <v>0</v>
      </c>
      <c r="AL36" s="219">
        <f t="shared" si="22"/>
        <v>0</v>
      </c>
      <c r="AM36" s="219">
        <f t="shared" si="23"/>
        <v>0</v>
      </c>
      <c r="AN36" s="301">
        <f t="shared" si="24"/>
        <v>0</v>
      </c>
      <c r="AO36" s="301">
        <f t="shared" si="25"/>
        <v>0</v>
      </c>
      <c r="AP36" s="301">
        <f t="shared" si="26"/>
        <v>0</v>
      </c>
      <c r="AQ36" s="301">
        <f t="shared" si="27"/>
        <v>0</v>
      </c>
      <c r="AR36" s="301">
        <f t="shared" si="28"/>
        <v>0</v>
      </c>
      <c r="AS36" s="301">
        <f t="shared" si="29"/>
        <v>0</v>
      </c>
      <c r="AT36" s="302">
        <f t="shared" si="30"/>
        <v>0</v>
      </c>
      <c r="AU36" s="302">
        <f t="shared" si="31"/>
        <v>0</v>
      </c>
      <c r="AV36" s="81">
        <f t="shared" si="32"/>
        <v>0</v>
      </c>
      <c r="AW36" s="82">
        <f t="shared" si="33"/>
        <v>0</v>
      </c>
      <c r="AX36" s="81">
        <f t="shared" si="34"/>
        <v>0</v>
      </c>
      <c r="AY36" s="83">
        <f t="shared" si="35"/>
        <v>0</v>
      </c>
      <c r="AZ36" s="83">
        <f t="shared" si="36"/>
        <v>0</v>
      </c>
      <c r="BA36" s="82">
        <f>IF(OR(B36=Feiertage!$A$16,B36=Feiertage!$A$19),U36*Zuschläge_24_31/100,IF(AZ36&gt;0,AZ36*Feiertag_mit/100,IF(AX36&gt;0,AX36*Zuschläge_Sa/100,IF(AY36&gt;0,AY36*Zuschlag_So/100,0))))</f>
        <v>0</v>
      </c>
      <c r="BB36" s="82">
        <f>IF(AND(B36&lt;&gt;0,G36=Voreinstellung_Übersicht!$D$41),IF(EG=1,W36*Über_klein/100,IF(EG=2,W36*Über_groß/100,"Fehler")),0)</f>
        <v>0</v>
      </c>
      <c r="BC36" s="299">
        <f t="shared" ca="1" si="41"/>
        <v>0</v>
      </c>
      <c r="BD36" s="219">
        <f t="shared" ca="1" si="37"/>
        <v>1</v>
      </c>
      <c r="BE36" s="303">
        <f ca="1">IF(B36="","",INDIRECT(ADDRESS(MATCH(B36,Soll_AZ,1)+MATCH("Arbeitszeit 1 ab",Voreinstellung_Übersicht!B:B,0)-1,4,,,"Voreinstellung_Übersicht"),TRUE))</f>
        <v>1.6666666666666665</v>
      </c>
      <c r="BF36" s="1">
        <f t="shared" si="42"/>
        <v>0</v>
      </c>
    </row>
    <row r="37" spans="1:104" s="1" customFormat="1" ht="15" x14ac:dyDescent="0.3">
      <c r="A37" s="218">
        <f t="shared" si="0"/>
        <v>18</v>
      </c>
      <c r="B37" s="47">
        <f t="shared" si="38"/>
        <v>42123</v>
      </c>
      <c r="C37" s="219">
        <f t="shared" si="1"/>
        <v>1</v>
      </c>
      <c r="D37" s="220" t="str">
        <f t="shared" si="2"/>
        <v/>
      </c>
      <c r="E37" s="298" t="str">
        <f t="shared" si="3"/>
        <v/>
      </c>
      <c r="F37" s="87">
        <f t="shared" si="4"/>
        <v>42123</v>
      </c>
      <c r="G37" s="147"/>
      <c r="H37" s="74"/>
      <c r="I37" s="75"/>
      <c r="J37" s="221">
        <f t="shared" si="5"/>
        <v>0</v>
      </c>
      <c r="K37" s="76"/>
      <c r="L37" s="221">
        <f t="shared" si="43"/>
        <v>0</v>
      </c>
      <c r="M37" s="74"/>
      <c r="N37" s="75"/>
      <c r="O37" s="221">
        <f t="shared" si="6"/>
        <v>0</v>
      </c>
      <c r="P37" s="76"/>
      <c r="Q37" s="221">
        <f t="shared" si="44"/>
        <v>0</v>
      </c>
      <c r="R37" s="221">
        <f t="shared" si="45"/>
        <v>0</v>
      </c>
      <c r="S37" s="221">
        <f t="shared" si="7"/>
        <v>0</v>
      </c>
      <c r="T37" s="79">
        <f t="shared" si="8"/>
        <v>0</v>
      </c>
      <c r="U37" s="79">
        <f t="shared" si="39"/>
        <v>0</v>
      </c>
      <c r="V37" s="80">
        <f t="shared" ca="1" si="9"/>
        <v>0.33333333329999998</v>
      </c>
      <c r="W37" s="249" t="str">
        <f t="shared" ca="1" si="10"/>
        <v/>
      </c>
      <c r="X37" s="293"/>
      <c r="Y37" s="221">
        <f t="shared" si="11"/>
        <v>0</v>
      </c>
      <c r="Z37" s="299">
        <f ca="1">IF(B37="","",INDIRECT(ADDRESS(MATCH(B37,Soll_AZ,1)+MATCH("Arbeitszeit 1 ab",Voreinstellung_Übersicht!B:B,0)-1,WEEKDAY(B37,2)+4,,,"Voreinstellung_Übersicht"),TRUE))</f>
        <v>0.33333333333333331</v>
      </c>
      <c r="AA37" s="300">
        <f t="shared" ca="1" si="40"/>
        <v>0</v>
      </c>
      <c r="AB37" s="219">
        <f t="shared" si="12"/>
        <v>0</v>
      </c>
      <c r="AC37" s="219">
        <f t="shared" si="13"/>
        <v>0</v>
      </c>
      <c r="AD37" s="219">
        <f t="shared" si="14"/>
        <v>0</v>
      </c>
      <c r="AE37" s="219">
        <f t="shared" si="15"/>
        <v>0</v>
      </c>
      <c r="AF37" s="219">
        <f t="shared" si="16"/>
        <v>0</v>
      </c>
      <c r="AG37" s="219">
        <f t="shared" si="17"/>
        <v>0</v>
      </c>
      <c r="AH37" s="219">
        <f t="shared" si="18"/>
        <v>0</v>
      </c>
      <c r="AI37" s="219">
        <f t="shared" si="19"/>
        <v>0</v>
      </c>
      <c r="AJ37" s="219">
        <f t="shared" si="20"/>
        <v>0</v>
      </c>
      <c r="AK37" s="219">
        <f t="shared" si="21"/>
        <v>0</v>
      </c>
      <c r="AL37" s="219">
        <f t="shared" si="22"/>
        <v>0</v>
      </c>
      <c r="AM37" s="219">
        <f t="shared" si="23"/>
        <v>0</v>
      </c>
      <c r="AN37" s="301">
        <f t="shared" si="24"/>
        <v>0</v>
      </c>
      <c r="AO37" s="301">
        <f t="shared" si="25"/>
        <v>0</v>
      </c>
      <c r="AP37" s="301">
        <f t="shared" si="26"/>
        <v>0</v>
      </c>
      <c r="AQ37" s="301">
        <f t="shared" si="27"/>
        <v>0</v>
      </c>
      <c r="AR37" s="301">
        <f t="shared" si="28"/>
        <v>0</v>
      </c>
      <c r="AS37" s="301">
        <f t="shared" si="29"/>
        <v>0</v>
      </c>
      <c r="AT37" s="302">
        <f t="shared" si="30"/>
        <v>0</v>
      </c>
      <c r="AU37" s="302">
        <f t="shared" si="31"/>
        <v>0</v>
      </c>
      <c r="AV37" s="81">
        <f t="shared" si="32"/>
        <v>0</v>
      </c>
      <c r="AW37" s="82">
        <f t="shared" si="33"/>
        <v>0</v>
      </c>
      <c r="AX37" s="81">
        <f t="shared" si="34"/>
        <v>0</v>
      </c>
      <c r="AY37" s="83">
        <f t="shared" si="35"/>
        <v>0</v>
      </c>
      <c r="AZ37" s="83">
        <f t="shared" si="36"/>
        <v>0</v>
      </c>
      <c r="BA37" s="82">
        <f>IF(OR(B37=Feiertage!$A$16,B37=Feiertage!$A$19),U37*Zuschläge_24_31/100,IF(AZ37&gt;0,AZ37*Feiertag_mit/100,IF(AX37&gt;0,AX37*Zuschläge_Sa/100,IF(AY37&gt;0,AY37*Zuschlag_So/100,0))))</f>
        <v>0</v>
      </c>
      <c r="BB37" s="82">
        <f>IF(AND(B37&lt;&gt;0,G37=Voreinstellung_Übersicht!$D$41),IF(EG=1,W37*Über_klein/100,IF(EG=2,W37*Über_groß/100,"Fehler")),0)</f>
        <v>0</v>
      </c>
      <c r="BC37" s="299">
        <f t="shared" ca="1" si="41"/>
        <v>0</v>
      </c>
      <c r="BD37" s="219">
        <f t="shared" ca="1" si="37"/>
        <v>1</v>
      </c>
      <c r="BE37" s="303">
        <f ca="1">IF(B37="","",INDIRECT(ADDRESS(MATCH(B37,Soll_AZ,1)+MATCH("Arbeitszeit 1 ab",Voreinstellung_Übersicht!B:B,0)-1,4,,,"Voreinstellung_Übersicht"),TRUE))</f>
        <v>1.6666666666666665</v>
      </c>
      <c r="BF37" s="1">
        <f t="shared" si="42"/>
        <v>0</v>
      </c>
    </row>
    <row r="38" spans="1:104" s="172" customFormat="1" ht="15" x14ac:dyDescent="0.3">
      <c r="A38" s="229"/>
      <c r="B38" s="217"/>
      <c r="C38" s="230"/>
      <c r="D38" s="231"/>
      <c r="E38" s="304"/>
      <c r="F38" s="216"/>
      <c r="G38" s="147"/>
      <c r="H38" s="77"/>
      <c r="I38" s="75"/>
      <c r="J38" s="221"/>
      <c r="K38" s="76"/>
      <c r="L38" s="221"/>
      <c r="M38" s="77"/>
      <c r="N38" s="215"/>
      <c r="O38" s="232"/>
      <c r="P38" s="78"/>
      <c r="Q38" s="221"/>
      <c r="R38" s="221"/>
      <c r="S38" s="221"/>
      <c r="T38" s="79"/>
      <c r="U38" s="79"/>
      <c r="V38" s="80"/>
      <c r="W38" s="249"/>
      <c r="X38" s="294"/>
      <c r="Y38" s="221"/>
      <c r="Z38" s="299"/>
      <c r="AA38" s="300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301"/>
      <c r="AO38" s="301"/>
      <c r="AP38" s="301"/>
      <c r="AQ38" s="301"/>
      <c r="AR38" s="301"/>
      <c r="AS38" s="301"/>
      <c r="AT38" s="302"/>
      <c r="AU38" s="302"/>
      <c r="AV38" s="81"/>
      <c r="AW38" s="82"/>
      <c r="AX38" s="81"/>
      <c r="AY38" s="212"/>
      <c r="AZ38" s="212"/>
      <c r="BA38" s="213"/>
      <c r="BB38" s="213"/>
      <c r="BC38" s="299">
        <f t="shared" ca="1" si="41"/>
        <v>0</v>
      </c>
      <c r="BD38" s="219"/>
      <c r="BE38" s="306"/>
      <c r="BF38" s="1">
        <f t="shared" si="42"/>
        <v>0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5" x14ac:dyDescent="0.25">
      <c r="A39" s="233"/>
      <c r="B39" s="233"/>
      <c r="C39" s="233"/>
      <c r="D39" s="233"/>
      <c r="E39" s="233"/>
      <c r="F39" s="488" t="s">
        <v>49</v>
      </c>
      <c r="G39" s="489"/>
      <c r="H39" s="482" t="s">
        <v>171</v>
      </c>
      <c r="I39" s="483"/>
      <c r="J39" s="307"/>
      <c r="K39" s="308">
        <f>AB39</f>
        <v>0</v>
      </c>
      <c r="L39" s="221"/>
      <c r="M39" s="206"/>
      <c r="N39" s="206"/>
      <c r="O39" s="221"/>
      <c r="P39" s="206"/>
      <c r="Q39" s="221"/>
      <c r="R39" s="221"/>
      <c r="S39" s="221"/>
      <c r="T39" s="479" t="s">
        <v>172</v>
      </c>
      <c r="U39" s="482" t="s">
        <v>171</v>
      </c>
      <c r="V39" s="483"/>
      <c r="W39" s="234">
        <f ca="1">Mrz!W41</f>
        <v>0</v>
      </c>
      <c r="X39" s="309"/>
      <c r="Y39" s="221" t="s">
        <v>173</v>
      </c>
      <c r="Z39" s="299" t="s">
        <v>174</v>
      </c>
      <c r="AA39" s="300"/>
      <c r="AB39" s="219">
        <f>Mrz!AB41</f>
        <v>0</v>
      </c>
      <c r="AC39" s="219">
        <f>Mrz!AC41</f>
        <v>0</v>
      </c>
      <c r="AD39" s="219">
        <f>Mrz!AD41</f>
        <v>0</v>
      </c>
      <c r="AE39" s="219">
        <f>Mrz!AE41</f>
        <v>0</v>
      </c>
      <c r="AF39" s="219">
        <f>Mrz!AF41</f>
        <v>0</v>
      </c>
      <c r="AG39" s="219">
        <f>Mrz!AG41</f>
        <v>0</v>
      </c>
      <c r="AH39" s="219">
        <f>Mrz!AH41</f>
        <v>0</v>
      </c>
      <c r="AI39" s="219">
        <f>Mrz!AI41</f>
        <v>0</v>
      </c>
      <c r="AJ39" s="219">
        <f>Mrz!AJ41</f>
        <v>0</v>
      </c>
      <c r="AK39" s="219">
        <f>Mrz!AK41</f>
        <v>0</v>
      </c>
      <c r="AL39" s="219">
        <f>Mrz!AL41</f>
        <v>0</v>
      </c>
      <c r="AM39" s="219">
        <f>Mrz!AM41</f>
        <v>0</v>
      </c>
      <c r="AN39" s="301"/>
      <c r="AO39" s="301"/>
      <c r="AP39" s="301"/>
      <c r="AQ39" s="301"/>
      <c r="AR39" s="301"/>
      <c r="AS39" s="301"/>
      <c r="AT39" s="302"/>
      <c r="AU39" s="302"/>
      <c r="AV39" s="484" t="s">
        <v>176</v>
      </c>
      <c r="AW39" s="234">
        <f>Voreinstellung_Übersicht!H12</f>
        <v>0</v>
      </c>
      <c r="AX39" s="310">
        <f>IF(AZ_Konto,SUM(AW8:AW38),0)</f>
        <v>0</v>
      </c>
      <c r="AY39" s="311"/>
      <c r="AZ39" s="312"/>
      <c r="BA39" s="311">
        <f>IF(AZ_Konto,SUM(BA8:BA38),0)</f>
        <v>0</v>
      </c>
      <c r="BB39" s="311">
        <f>IF(AZ_Konto,SUM(BB8:BB38),0)</f>
        <v>0</v>
      </c>
      <c r="BC39" s="299">
        <f ca="1">BC38</f>
        <v>0</v>
      </c>
      <c r="BD39" s="219"/>
      <c r="BE39" s="303"/>
      <c r="BF39"/>
    </row>
    <row r="40" spans="1:104" ht="15" x14ac:dyDescent="0.25">
      <c r="A40" s="233"/>
      <c r="B40" s="233"/>
      <c r="C40" s="233"/>
      <c r="D40" s="233"/>
      <c r="E40" s="233"/>
      <c r="F40" s="488"/>
      <c r="G40" s="490"/>
      <c r="H40" s="482" t="s">
        <v>177</v>
      </c>
      <c r="I40" s="483"/>
      <c r="J40" s="235"/>
      <c r="K40" s="236">
        <f>-AB40</f>
        <v>0</v>
      </c>
      <c r="L40" s="221"/>
      <c r="M40" s="206"/>
      <c r="N40" s="206"/>
      <c r="O40" s="221"/>
      <c r="P40" s="206"/>
      <c r="Q40" s="221"/>
      <c r="R40" s="221"/>
      <c r="S40" s="221"/>
      <c r="T40" s="480"/>
      <c r="U40" s="482" t="s">
        <v>177</v>
      </c>
      <c r="V40" s="483"/>
      <c r="W40" s="237">
        <f ca="1">SUM(W8:W38)</f>
        <v>0</v>
      </c>
      <c r="X40" s="309"/>
      <c r="Y40" s="221">
        <f>SUM(Y8:Y38)</f>
        <v>0</v>
      </c>
      <c r="Z40" s="299">
        <f ca="1">SUM(Z8:Z38)</f>
        <v>7.3333333333333304</v>
      </c>
      <c r="AA40" s="300"/>
      <c r="AB40" s="219">
        <f t="shared" ref="AB40:AM40" si="46">SUM(AB8:AB38)</f>
        <v>0</v>
      </c>
      <c r="AC40" s="219">
        <f t="shared" si="46"/>
        <v>0</v>
      </c>
      <c r="AD40" s="219">
        <f t="shared" si="46"/>
        <v>0</v>
      </c>
      <c r="AE40" s="219">
        <f t="shared" si="46"/>
        <v>0</v>
      </c>
      <c r="AF40" s="219">
        <f t="shared" si="46"/>
        <v>0</v>
      </c>
      <c r="AG40" s="219">
        <f t="shared" si="46"/>
        <v>0</v>
      </c>
      <c r="AH40" s="219">
        <f t="shared" si="46"/>
        <v>0</v>
      </c>
      <c r="AI40" s="219">
        <f t="shared" si="46"/>
        <v>0</v>
      </c>
      <c r="AJ40" s="219">
        <f t="shared" si="46"/>
        <v>0</v>
      </c>
      <c r="AK40" s="219">
        <f t="shared" si="46"/>
        <v>0</v>
      </c>
      <c r="AL40" s="219">
        <f t="shared" si="46"/>
        <v>0</v>
      </c>
      <c r="AM40" s="219">
        <f t="shared" si="46"/>
        <v>0</v>
      </c>
      <c r="AN40" s="301"/>
      <c r="AO40" s="301"/>
      <c r="AP40" s="301"/>
      <c r="AQ40" s="301"/>
      <c r="AR40" s="301"/>
      <c r="AS40" s="301"/>
      <c r="AT40" s="302"/>
      <c r="AU40" s="302"/>
      <c r="AV40" s="485"/>
      <c r="AW40" s="237" t="str">
        <f>IF(SUM(AX39,BA39,BB39)&gt;0,SUM(AX39,BA39,BB39),"")</f>
        <v/>
      </c>
      <c r="AX40" s="313"/>
      <c r="AY40" s="313"/>
      <c r="AZ40" s="313"/>
      <c r="BA40" s="313"/>
      <c r="BB40" s="313"/>
      <c r="BC40" s="299"/>
      <c r="BD40" s="219"/>
      <c r="BE40" s="303"/>
      <c r="BF40"/>
    </row>
    <row r="41" spans="1:104" ht="15" x14ac:dyDescent="0.25">
      <c r="A41" s="233"/>
      <c r="B41" s="233"/>
      <c r="C41" s="233"/>
      <c r="D41" s="233"/>
      <c r="E41" s="233"/>
      <c r="F41" s="491"/>
      <c r="G41" s="492"/>
      <c r="H41" s="482" t="s">
        <v>178</v>
      </c>
      <c r="I41" s="483"/>
      <c r="J41" s="238"/>
      <c r="K41" s="239">
        <f>AB41</f>
        <v>0</v>
      </c>
      <c r="L41" s="221"/>
      <c r="M41" s="206"/>
      <c r="N41" s="206"/>
      <c r="O41" s="221"/>
      <c r="P41" s="206"/>
      <c r="Q41" s="221"/>
      <c r="R41" s="221"/>
      <c r="S41" s="221"/>
      <c r="T41" s="481"/>
      <c r="U41" s="482" t="s">
        <v>178</v>
      </c>
      <c r="V41" s="483"/>
      <c r="W41" s="240">
        <f ca="1">SUM(W39:W40)</f>
        <v>0</v>
      </c>
      <c r="X41" s="309"/>
      <c r="Y41" s="221"/>
      <c r="Z41" s="299"/>
      <c r="AA41" s="300"/>
      <c r="AB41" s="219">
        <f>AB39-AB40</f>
        <v>0</v>
      </c>
      <c r="AC41" s="219">
        <f t="shared" ref="AC41:AM41" si="47">SUM(AC39:AC40)</f>
        <v>0</v>
      </c>
      <c r="AD41" s="219">
        <f t="shared" si="47"/>
        <v>0</v>
      </c>
      <c r="AE41" s="219">
        <f t="shared" si="47"/>
        <v>0</v>
      </c>
      <c r="AF41" s="219">
        <f t="shared" si="47"/>
        <v>0</v>
      </c>
      <c r="AG41" s="219">
        <f t="shared" si="47"/>
        <v>0</v>
      </c>
      <c r="AH41" s="219">
        <f t="shared" si="47"/>
        <v>0</v>
      </c>
      <c r="AI41" s="219">
        <f t="shared" si="47"/>
        <v>0</v>
      </c>
      <c r="AJ41" s="219">
        <f t="shared" si="47"/>
        <v>0</v>
      </c>
      <c r="AK41" s="219">
        <f t="shared" si="47"/>
        <v>0</v>
      </c>
      <c r="AL41" s="219">
        <f t="shared" si="47"/>
        <v>0</v>
      </c>
      <c r="AM41" s="219">
        <f t="shared" si="47"/>
        <v>0</v>
      </c>
      <c r="AN41" s="301"/>
      <c r="AO41" s="301"/>
      <c r="AP41" s="301"/>
      <c r="AQ41" s="301"/>
      <c r="AR41" s="301"/>
      <c r="AS41" s="301"/>
      <c r="AT41" s="302"/>
      <c r="AU41" s="302"/>
      <c r="AV41" s="486"/>
      <c r="AW41" s="240">
        <f>SUM(AW39:AW40)</f>
        <v>0</v>
      </c>
      <c r="AX41" s="314"/>
      <c r="AY41" s="314"/>
      <c r="AZ41" s="314"/>
      <c r="BA41" s="314"/>
      <c r="BB41" s="314"/>
      <c r="BC41" s="299"/>
      <c r="BD41" s="219"/>
      <c r="BE41" s="303"/>
      <c r="BF41"/>
    </row>
    <row r="42" spans="1:104" s="1" customFormat="1" ht="15" x14ac:dyDescent="0.3">
      <c r="A42" s="88"/>
      <c r="B42" s="47"/>
      <c r="C42" s="6"/>
      <c r="D42" s="89"/>
      <c r="E42" s="90"/>
      <c r="F42" s="487" t="s">
        <v>179</v>
      </c>
      <c r="G42" s="487"/>
      <c r="H42" s="487"/>
      <c r="I42" s="487"/>
      <c r="J42" s="347"/>
      <c r="K42" s="186">
        <f>NETWORKDAYS(B8,B37,Feiertage)</f>
        <v>20</v>
      </c>
      <c r="L42" s="331"/>
      <c r="M42" s="330"/>
      <c r="N42" s="330"/>
      <c r="O42" s="331"/>
      <c r="P42" s="330"/>
      <c r="Q42" s="331"/>
      <c r="R42" s="331"/>
      <c r="S42" s="331"/>
      <c r="T42" s="332"/>
      <c r="U42" s="332"/>
      <c r="V42" s="332"/>
      <c r="W42" s="332"/>
      <c r="X42" s="333"/>
      <c r="Y42" s="331"/>
      <c r="Z42" s="334"/>
      <c r="AA42" s="335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7"/>
      <c r="AO42" s="337"/>
      <c r="AP42" s="337"/>
      <c r="AQ42" s="337"/>
      <c r="AR42" s="337"/>
      <c r="AS42" s="337"/>
      <c r="AT42" s="338"/>
      <c r="AU42" s="338"/>
      <c r="AV42" s="339"/>
      <c r="AW42" s="340"/>
      <c r="AX42" s="83"/>
      <c r="AY42" s="83"/>
      <c r="AZ42" s="83"/>
      <c r="BA42" s="173"/>
      <c r="BB42" s="173"/>
      <c r="BC42" s="15"/>
      <c r="BD42" s="6"/>
      <c r="BE42" s="169"/>
    </row>
    <row r="43" spans="1:104" s="1" customFormat="1" ht="15" x14ac:dyDescent="0.3">
      <c r="A43" s="11"/>
      <c r="B43" s="47"/>
      <c r="C43" s="6"/>
      <c r="D43" s="6"/>
      <c r="E43" s="12"/>
      <c r="F43" s="487" t="s">
        <v>180</v>
      </c>
      <c r="G43" s="487"/>
      <c r="H43" s="487"/>
      <c r="I43" s="487"/>
      <c r="J43" s="348"/>
      <c r="K43" s="186">
        <f>SUM(BF8:BF38)</f>
        <v>0</v>
      </c>
      <c r="L43" s="336"/>
      <c r="M43" s="341"/>
      <c r="N43" s="341"/>
      <c r="O43" s="336"/>
      <c r="P43" s="341"/>
      <c r="Q43" s="336"/>
      <c r="R43" s="336"/>
      <c r="S43" s="336"/>
      <c r="T43" s="341"/>
      <c r="U43" s="341"/>
      <c r="V43" s="341"/>
      <c r="W43" s="341"/>
      <c r="X43" s="342"/>
      <c r="Y43" s="331"/>
      <c r="Z43" s="343"/>
      <c r="AA43" s="344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45"/>
      <c r="AO43" s="336"/>
      <c r="AP43" s="336"/>
      <c r="AQ43" s="336"/>
      <c r="AR43" s="336"/>
      <c r="AS43" s="336"/>
      <c r="AT43" s="346"/>
      <c r="AU43" s="346"/>
      <c r="AV43" s="341"/>
      <c r="AW43" s="341"/>
      <c r="AX43" s="26"/>
      <c r="AY43" s="26"/>
      <c r="AZ43" s="26"/>
      <c r="BA43" s="26"/>
      <c r="BC43" s="6"/>
      <c r="BD43" s="6"/>
      <c r="BE43" s="6"/>
    </row>
    <row r="45" spans="1:104" x14ac:dyDescent="0.3">
      <c r="A45" s="11"/>
      <c r="B45" s="47"/>
      <c r="C45" s="6"/>
      <c r="D45" s="6"/>
      <c r="E45" s="12"/>
      <c r="F45" s="329"/>
      <c r="G45" s="329"/>
      <c r="H45" s="341"/>
      <c r="I45" s="341"/>
      <c r="J45" s="336"/>
      <c r="K45" s="341"/>
      <c r="L45" s="336"/>
      <c r="M45" s="341"/>
      <c r="N45" s="341"/>
      <c r="O45" s="336"/>
      <c r="P45" s="341"/>
      <c r="Q45" s="336"/>
      <c r="R45" s="336"/>
      <c r="S45" s="336"/>
      <c r="T45" s="341"/>
      <c r="U45" s="341"/>
      <c r="V45" s="341"/>
      <c r="W45" s="341"/>
      <c r="X45" s="342"/>
      <c r="Y45" s="331"/>
      <c r="Z45" s="343"/>
      <c r="AA45" s="344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45"/>
      <c r="AO45" s="336"/>
      <c r="AP45" s="336"/>
      <c r="AQ45" s="336"/>
      <c r="AR45" s="336"/>
      <c r="AS45" s="336"/>
      <c r="AT45" s="346"/>
      <c r="AU45" s="346"/>
      <c r="AV45" s="341"/>
      <c r="AW45" s="341"/>
      <c r="AX45" s="26"/>
      <c r="AY45" s="26"/>
      <c r="AZ45" s="26"/>
      <c r="BA45" s="26"/>
      <c r="BB45" s="1"/>
      <c r="BC45" s="6"/>
      <c r="BD45" s="6"/>
      <c r="BE45" s="6"/>
      <c r="BG45" s="1"/>
    </row>
    <row r="46" spans="1:104" x14ac:dyDescent="0.3">
      <c r="A46" s="11"/>
      <c r="B46" s="47"/>
      <c r="C46" s="6"/>
      <c r="D46" s="6"/>
      <c r="E46" s="12"/>
      <c r="F46" s="329"/>
      <c r="G46" s="329"/>
      <c r="H46" s="341"/>
      <c r="I46" s="341"/>
      <c r="J46" s="336"/>
      <c r="K46" s="341"/>
      <c r="L46" s="336"/>
      <c r="M46" s="341"/>
      <c r="N46" s="341"/>
      <c r="O46" s="336"/>
      <c r="P46" s="341"/>
      <c r="Q46" s="336"/>
      <c r="R46" s="336"/>
      <c r="S46" s="336"/>
      <c r="T46" s="341"/>
      <c r="U46" s="341"/>
      <c r="V46" s="341"/>
      <c r="W46" s="341"/>
      <c r="X46" s="342"/>
      <c r="Y46" s="331"/>
      <c r="Z46" s="343"/>
      <c r="AA46" s="344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45"/>
      <c r="AO46" s="336"/>
      <c r="AP46" s="336"/>
      <c r="AQ46" s="336"/>
      <c r="AR46" s="336"/>
      <c r="AS46" s="336"/>
      <c r="AT46" s="346"/>
      <c r="AU46" s="346"/>
      <c r="AV46" s="341"/>
      <c r="AW46" s="341"/>
      <c r="AX46" s="26"/>
      <c r="AY46" s="26"/>
      <c r="AZ46" s="26"/>
      <c r="BA46" s="26"/>
      <c r="BB46" s="1"/>
      <c r="BC46" s="6"/>
      <c r="BD46" s="6"/>
      <c r="BE46" s="6"/>
      <c r="BG46" s="1"/>
    </row>
    <row r="47" spans="1:104" x14ac:dyDescent="0.3">
      <c r="A47" s="11"/>
      <c r="B47" s="47"/>
      <c r="C47" s="6"/>
      <c r="D47" s="6"/>
      <c r="E47" s="12"/>
      <c r="F47" s="329"/>
      <c r="G47" s="329"/>
      <c r="H47" s="341"/>
      <c r="I47" s="341"/>
      <c r="J47" s="336"/>
      <c r="K47" s="341"/>
      <c r="L47" s="336"/>
      <c r="M47" s="341"/>
      <c r="N47" s="341"/>
      <c r="O47" s="336"/>
      <c r="P47" s="341"/>
      <c r="Q47" s="336"/>
      <c r="R47" s="336"/>
      <c r="S47" s="336"/>
      <c r="T47" s="341"/>
      <c r="U47" s="341"/>
      <c r="V47" s="341"/>
      <c r="W47" s="341"/>
      <c r="X47" s="342"/>
      <c r="Y47" s="331"/>
      <c r="Z47" s="343"/>
      <c r="AA47" s="344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45"/>
      <c r="AO47" s="336"/>
      <c r="AP47" s="336"/>
      <c r="AQ47" s="336"/>
      <c r="AR47" s="336"/>
      <c r="AS47" s="336"/>
      <c r="AT47" s="346"/>
      <c r="AU47" s="346"/>
      <c r="AV47" s="341"/>
      <c r="AW47" s="341"/>
      <c r="AX47" s="26"/>
      <c r="AY47" s="26"/>
      <c r="AZ47" s="26"/>
      <c r="BA47" s="26"/>
      <c r="BB47" s="1"/>
      <c r="BC47" s="6"/>
      <c r="BD47" s="6"/>
      <c r="BE47" s="6"/>
      <c r="BG47" s="1"/>
    </row>
  </sheetData>
  <sheetProtection algorithmName="SHA-512" hashValue="u9QBXRjJavryBQhXb0jcPgeG23aCgyqkc84c+vFOOmeVhICJmLPnWvC8QJWXBf22mlHKOhCu3ExZ+uQeoJtH3Q==" saltValue="6PdNBX5O8lN5/Fmm6bFqmA==" spinCount="100000" sheet="1" objects="1" scenarios="1" formatCells="0" selectLockedCells="1"/>
  <mergeCells count="26">
    <mergeCell ref="F42:I42"/>
    <mergeCell ref="F43:I43"/>
    <mergeCell ref="AX6:BA6"/>
    <mergeCell ref="E3:G3"/>
    <mergeCell ref="H3:I3"/>
    <mergeCell ref="E4:G4"/>
    <mergeCell ref="F39:G41"/>
    <mergeCell ref="H39:I39"/>
    <mergeCell ref="T39:T41"/>
    <mergeCell ref="U39:V39"/>
    <mergeCell ref="AV6:AW6"/>
    <mergeCell ref="U40:V40"/>
    <mergeCell ref="U41:V41"/>
    <mergeCell ref="H41:I41"/>
    <mergeCell ref="AN2:AS4"/>
    <mergeCell ref="AT2:AU4"/>
    <mergeCell ref="AA3:AA6"/>
    <mergeCell ref="AV39:AV41"/>
    <mergeCell ref="AN6:AS6"/>
    <mergeCell ref="AT6:AU6"/>
    <mergeCell ref="H40:I40"/>
    <mergeCell ref="E2:G2"/>
    <mergeCell ref="H2:I2"/>
    <mergeCell ref="F6:F7"/>
    <mergeCell ref="G6:G7"/>
    <mergeCell ref="H6:P6"/>
  </mergeCells>
  <conditionalFormatting sqref="B7:E7 B8:F39 B40:E41 B5:F6">
    <cfRule type="expression" dxfId="186" priority="17">
      <formula>AND($C5=0,NOT($C5=""))</formula>
    </cfRule>
  </conditionalFormatting>
  <conditionalFormatting sqref="B6:F6 B7:E7 BB6:BB41 B39:F39 B40:E41 H39:H41 J39:U39 J40:S41 U40:U41 W40:AU41 AW40:BA41 F41:G41 I41 T41 V41 AV41 B8:BA38 H6:BA7 B5:BA5 W39:BA39">
    <cfRule type="expression" dxfId="185" priority="18">
      <formula>AND($C5=0,NOT($C5=""))</formula>
    </cfRule>
  </conditionalFormatting>
  <conditionalFormatting sqref="G6 BC8:BC38">
    <cfRule type="expression" dxfId="184" priority="22">
      <formula>AND($C7=0,NOT($C7=""))</formula>
    </cfRule>
  </conditionalFormatting>
  <conditionalFormatting sqref="BC38:BC41">
    <cfRule type="expression" dxfId="183" priority="23">
      <formula>AND(#REF!=0,NOT(#REF!=""))</formula>
    </cfRule>
  </conditionalFormatting>
  <conditionalFormatting sqref="W8:X41 BC8:BD41">
    <cfRule type="expression" dxfId="182" priority="14">
      <formula>$BD8=3</formula>
    </cfRule>
    <cfRule type="expression" dxfId="181" priority="15">
      <formula>$BD8=2</formula>
    </cfRule>
  </conditionalFormatting>
  <conditionalFormatting sqref="W8:W41 BC8:BD41">
    <cfRule type="expression" dxfId="180" priority="16">
      <formula>$BD8=1</formula>
    </cfRule>
  </conditionalFormatting>
  <conditionalFormatting sqref="A8:BB38">
    <cfRule type="expression" dxfId="179" priority="13">
      <formula>$R$1=TRUE</formula>
    </cfRule>
  </conditionalFormatting>
  <conditionalFormatting sqref="B1:F4">
    <cfRule type="expression" dxfId="178" priority="7">
      <formula>AND($C1=0,NOT($C1=""))</formula>
    </cfRule>
  </conditionalFormatting>
  <conditionalFormatting sqref="B1:BA4">
    <cfRule type="expression" dxfId="177" priority="8">
      <formula>AND($C1=0,NOT($C1=""))</formula>
    </cfRule>
  </conditionalFormatting>
  <conditionalFormatting sqref="B42:F42">
    <cfRule type="expression" dxfId="176" priority="4">
      <formula>AND($C42=0,NOT($C42=""))</formula>
    </cfRule>
  </conditionalFormatting>
  <conditionalFormatting sqref="BB42">
    <cfRule type="expression" dxfId="175" priority="5">
      <formula>AND($C42=0,NOT($C42=""))</formula>
    </cfRule>
  </conditionalFormatting>
  <conditionalFormatting sqref="BC42">
    <cfRule type="expression" dxfId="174" priority="6">
      <formula>AND(#REF!=0,NOT(#REF!=""))</formula>
    </cfRule>
  </conditionalFormatting>
  <conditionalFormatting sqref="BC42:BD42">
    <cfRule type="expression" dxfId="173" priority="1">
      <formula>$BD42=3</formula>
    </cfRule>
    <cfRule type="expression" dxfId="172" priority="2">
      <formula>$BD42=2</formula>
    </cfRule>
  </conditionalFormatting>
  <conditionalFormatting sqref="BC42:BD42">
    <cfRule type="expression" dxfId="171" priority="3">
      <formula>$BD42=1</formula>
    </cfRule>
  </conditionalFormatting>
  <dataValidations count="2">
    <dataValidation type="list" allowBlank="1" showInputMessage="1" showErrorMessage="1" sqref="G8:G38">
      <formula1>Code_Liste</formula1>
    </dataValidation>
    <dataValidation type="time" allowBlank="1" showInputMessage="1" showErrorMessage="1" sqref="H8:I12 K8:K12">
      <formula1>$R$6</formula1>
      <formula2>$S$6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0418D55B-BD58-4A78-8C0A-FC92A923D105}">
            <xm:f>Voreinstellung_Übersicht!$R$14=3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21" stopIfTrue="1" id="{8A2440FA-36E9-41E7-92AA-6F261E17B976}">
            <xm:f>Voreinstellung_Übersicht!$R$14=2</xm:f>
            <x14:dxf>
              <fill>
                <patternFill>
                  <bgColor rgb="FFFFC000"/>
                </patternFill>
              </fill>
            </x14:dxf>
          </x14:cfRule>
          <xm:sqref>W7:X41</xm:sqref>
        </x14:conditionalFormatting>
        <x14:conditionalFormatting xmlns:xm="http://schemas.microsoft.com/office/excel/2006/main">
          <x14:cfRule type="expression" priority="19" stopIfTrue="1" id="{5390E82C-4DF4-4C92-AAF5-B47769C751DC}">
            <xm:f>Voreinstellung_Übersicht!$R$14=1</xm:f>
            <x14:dxf>
              <fill>
                <patternFill>
                  <bgColor theme="9" tint="0.59996337778862885"/>
                </patternFill>
              </fill>
            </x14:dxf>
          </x14:cfRule>
          <xm:sqref>W7:W41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7"/>
  <sheetViews>
    <sheetView zoomScale="80" zoomScaleNormal="80" workbookViewId="0">
      <selection activeCell="G8" sqref="G8"/>
    </sheetView>
  </sheetViews>
  <sheetFormatPr baseColWidth="10" defaultColWidth="11.42578125" defaultRowHeight="15.75" x14ac:dyDescent="0.3"/>
  <cols>
    <col min="1" max="1" width="5.5703125" customWidth="1"/>
    <col min="2" max="2" width="12.7109375" bestFit="1" customWidth="1"/>
    <col min="3" max="4" width="0" hidden="1" customWidth="1"/>
    <col min="5" max="5" width="15.7109375" style="248" customWidth="1"/>
    <col min="6" max="6" width="6.28515625" customWidth="1"/>
    <col min="7" max="7" width="6" customWidth="1"/>
    <col min="8" max="9" width="11.5703125" bestFit="1" customWidth="1"/>
    <col min="10" max="10" width="11.42578125" hidden="1" customWidth="1"/>
    <col min="11" max="11" width="11.42578125" customWidth="1"/>
    <col min="12" max="12" width="11.42578125" hidden="1" customWidth="1"/>
    <col min="13" max="14" width="11.5703125" bestFit="1" customWidth="1"/>
    <col min="15" max="15" width="11.42578125" hidden="1" customWidth="1"/>
    <col min="17" max="19" width="11.42578125" hidden="1" customWidth="1"/>
    <col min="20" max="21" width="11.5703125" bestFit="1" customWidth="1"/>
    <col min="24" max="24" width="25.7109375" customWidth="1"/>
    <col min="25" max="46" width="11.5703125" hidden="1" customWidth="1"/>
    <col min="47" max="47" width="11.42578125" hidden="1" customWidth="1"/>
    <col min="49" max="49" width="13.7109375" customWidth="1"/>
    <col min="53" max="53" width="13" customWidth="1"/>
    <col min="54" max="54" width="18.140625" customWidth="1"/>
    <col min="55" max="57" width="11.5703125" hidden="1" customWidth="1"/>
    <col min="58" max="58" width="11.5703125" style="1" hidden="1" customWidth="1"/>
  </cols>
  <sheetData>
    <row r="1" spans="1:58" s="1" customFormat="1" thickBot="1" x14ac:dyDescent="0.35">
      <c r="A1" s="26"/>
      <c r="B1" s="47"/>
      <c r="C1" s="6"/>
      <c r="D1" s="6"/>
      <c r="E1" s="12"/>
      <c r="F1" s="66"/>
      <c r="G1" s="66"/>
      <c r="H1" s="26"/>
      <c r="I1" s="26"/>
      <c r="J1" s="6"/>
      <c r="K1" s="26"/>
      <c r="L1" s="6"/>
      <c r="M1" s="26"/>
      <c r="N1" s="26"/>
      <c r="O1" s="6"/>
      <c r="P1" s="26"/>
      <c r="Q1" s="6" t="s">
        <v>123</v>
      </c>
      <c r="R1" s="315" t="b">
        <v>0</v>
      </c>
      <c r="S1" s="6"/>
      <c r="T1" s="26"/>
      <c r="U1" s="26"/>
      <c r="V1" s="26"/>
      <c r="W1" s="26"/>
      <c r="X1" s="48"/>
      <c r="Y1" s="7"/>
      <c r="Z1" s="8"/>
      <c r="AA1" s="17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3"/>
      <c r="AO1" s="6"/>
      <c r="AP1" s="6"/>
      <c r="AQ1" s="6"/>
      <c r="AR1" s="6"/>
      <c r="AS1" s="6"/>
      <c r="AT1" s="14"/>
      <c r="AU1" s="14"/>
      <c r="AV1" s="26"/>
      <c r="AW1" s="26"/>
      <c r="AX1" s="26"/>
      <c r="AY1" s="26"/>
      <c r="AZ1" s="26"/>
      <c r="BA1" s="26"/>
      <c r="BC1" s="6"/>
      <c r="BD1" s="6"/>
      <c r="BE1" s="6"/>
    </row>
    <row r="2" spans="1:58" s="1" customFormat="1" ht="16.5" customHeight="1" x14ac:dyDescent="0.3">
      <c r="A2" s="26"/>
      <c r="B2" s="71" t="s">
        <v>1</v>
      </c>
      <c r="C2" s="222" t="str">
        <f>Name</f>
        <v>Max Mustermann</v>
      </c>
      <c r="D2" s="222"/>
      <c r="E2" s="466" t="str">
        <f>C2</f>
        <v>Max Mustermann</v>
      </c>
      <c r="F2" s="466"/>
      <c r="G2" s="466"/>
      <c r="H2" s="471" t="s">
        <v>7</v>
      </c>
      <c r="I2" s="471"/>
      <c r="J2" s="222"/>
      <c r="K2" s="69">
        <f>Personalnummer</f>
        <v>123456789</v>
      </c>
      <c r="L2" s="219"/>
      <c r="M2" s="26"/>
      <c r="N2" s="26"/>
      <c r="O2" s="219"/>
      <c r="P2" s="26"/>
      <c r="Q2" s="219"/>
      <c r="R2" s="219"/>
      <c r="S2" s="219"/>
      <c r="T2" s="26"/>
      <c r="U2" s="26"/>
      <c r="V2" s="26"/>
      <c r="W2" s="26"/>
      <c r="X2" s="48"/>
      <c r="Y2" s="221"/>
      <c r="Z2" s="295"/>
      <c r="AA2" s="296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474"/>
      <c r="AO2" s="474"/>
      <c r="AP2" s="474"/>
      <c r="AQ2" s="474"/>
      <c r="AR2" s="474"/>
      <c r="AS2" s="474"/>
      <c r="AT2" s="470" t="s">
        <v>124</v>
      </c>
      <c r="AU2" s="470"/>
      <c r="AV2" s="26"/>
      <c r="AW2" s="26"/>
      <c r="AX2" s="26"/>
      <c r="AY2" s="26"/>
      <c r="AZ2" s="26"/>
      <c r="BA2" s="26"/>
      <c r="BB2" s="29"/>
      <c r="BC2" s="219"/>
      <c r="BD2" s="219"/>
      <c r="BE2" s="219"/>
    </row>
    <row r="3" spans="1:58" s="1" customFormat="1" ht="16.5" customHeight="1" x14ac:dyDescent="0.3">
      <c r="A3" s="26"/>
      <c r="B3" s="72" t="s">
        <v>125</v>
      </c>
      <c r="C3" s="223">
        <f>Jahr</f>
        <v>42004</v>
      </c>
      <c r="D3" s="223"/>
      <c r="E3" s="468">
        <f>Jahr</f>
        <v>42004</v>
      </c>
      <c r="F3" s="468"/>
      <c r="G3" s="468"/>
      <c r="H3" s="472" t="s">
        <v>5</v>
      </c>
      <c r="I3" s="472"/>
      <c r="J3" s="224"/>
      <c r="K3" s="70">
        <f>Geburtstag</f>
        <v>16833</v>
      </c>
      <c r="L3" s="219"/>
      <c r="M3" s="26"/>
      <c r="N3" s="26"/>
      <c r="O3" s="219"/>
      <c r="P3" s="26"/>
      <c r="Q3" s="219"/>
      <c r="R3" s="219"/>
      <c r="S3" s="219"/>
      <c r="T3" s="26"/>
      <c r="U3" s="26"/>
      <c r="V3" s="26"/>
      <c r="W3" s="26"/>
      <c r="X3" s="48"/>
      <c r="Y3" s="221"/>
      <c r="Z3" s="295"/>
      <c r="AA3" s="475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474"/>
      <c r="AO3" s="474"/>
      <c r="AP3" s="474"/>
      <c r="AQ3" s="474"/>
      <c r="AR3" s="474"/>
      <c r="AS3" s="474"/>
      <c r="AT3" s="470"/>
      <c r="AU3" s="470"/>
      <c r="AV3" s="26"/>
      <c r="AW3" s="26"/>
      <c r="AX3" s="26"/>
      <c r="AY3" s="26"/>
      <c r="AZ3" s="26"/>
      <c r="BA3" s="26"/>
      <c r="BB3" s="29"/>
      <c r="BC3" s="219"/>
      <c r="BD3" s="219"/>
      <c r="BE3" s="219"/>
    </row>
    <row r="4" spans="1:58" s="1" customFormat="1" ht="16.5" customHeight="1" thickBot="1" x14ac:dyDescent="0.35">
      <c r="A4" s="26"/>
      <c r="B4" s="322" t="s">
        <v>126</v>
      </c>
      <c r="C4" s="323">
        <f>Jahr</f>
        <v>42004</v>
      </c>
      <c r="D4" s="323"/>
      <c r="E4" s="467">
        <f>B8</f>
        <v>42124</v>
      </c>
      <c r="F4" s="467"/>
      <c r="G4" s="467"/>
      <c r="H4" s="324"/>
      <c r="I4" s="324"/>
      <c r="J4" s="325"/>
      <c r="K4" s="326"/>
      <c r="L4" s="219"/>
      <c r="M4" s="26"/>
      <c r="N4" s="26"/>
      <c r="O4" s="219"/>
      <c r="P4" s="26"/>
      <c r="Q4" s="219"/>
      <c r="R4" s="219"/>
      <c r="S4" s="219"/>
      <c r="T4" s="26"/>
      <c r="U4" s="26"/>
      <c r="V4" s="26"/>
      <c r="W4" s="26"/>
      <c r="X4" s="48"/>
      <c r="Y4" s="221"/>
      <c r="Z4" s="295"/>
      <c r="AA4" s="475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474"/>
      <c r="AO4" s="474"/>
      <c r="AP4" s="474"/>
      <c r="AQ4" s="474"/>
      <c r="AR4" s="474"/>
      <c r="AS4" s="474"/>
      <c r="AT4" s="470"/>
      <c r="AU4" s="470"/>
      <c r="AV4" s="26"/>
      <c r="AW4" s="26"/>
      <c r="AX4" s="26"/>
      <c r="AY4" s="26"/>
      <c r="AZ4" s="26"/>
      <c r="BA4" s="26"/>
      <c r="BB4" s="29"/>
      <c r="BC4" s="219"/>
      <c r="BD4" s="219"/>
      <c r="BE4" s="219"/>
    </row>
    <row r="5" spans="1:58" s="1" customFormat="1" ht="15" x14ac:dyDescent="0.3">
      <c r="A5" s="26"/>
      <c r="B5" s="73"/>
      <c r="C5" s="225"/>
      <c r="D5" s="225"/>
      <c r="E5" s="67"/>
      <c r="F5" s="67"/>
      <c r="G5" s="67"/>
      <c r="H5" s="68"/>
      <c r="I5" s="68"/>
      <c r="J5" s="226"/>
      <c r="K5" s="68"/>
      <c r="L5" s="219"/>
      <c r="M5" s="26"/>
      <c r="N5" s="26"/>
      <c r="O5" s="219"/>
      <c r="P5" s="26"/>
      <c r="Q5" s="219"/>
      <c r="R5" s="219"/>
      <c r="S5" s="219"/>
      <c r="T5" s="26"/>
      <c r="U5" s="26"/>
      <c r="V5" s="26"/>
      <c r="W5" s="26"/>
      <c r="X5" s="48"/>
      <c r="Y5" s="221"/>
      <c r="Z5" s="295"/>
      <c r="AA5" s="475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73"/>
      <c r="AO5" s="273"/>
      <c r="AP5" s="273"/>
      <c r="AQ5" s="273"/>
      <c r="AR5" s="273"/>
      <c r="AS5" s="273"/>
      <c r="AT5" s="272"/>
      <c r="AU5" s="272"/>
      <c r="AV5" s="26"/>
      <c r="AW5" s="26"/>
      <c r="AX5" s="26"/>
      <c r="AY5" s="26"/>
      <c r="AZ5" s="26"/>
      <c r="BA5" s="26"/>
      <c r="BB5" s="29"/>
      <c r="BC5" s="219"/>
      <c r="BD5" s="219"/>
      <c r="BE5" s="219"/>
    </row>
    <row r="6" spans="1:58" s="1" customFormat="1" ht="27.6" customHeight="1" x14ac:dyDescent="0.3">
      <c r="A6" s="227"/>
      <c r="B6" s="86"/>
      <c r="C6" s="228" t="s">
        <v>127</v>
      </c>
      <c r="D6" s="228" t="s">
        <v>81</v>
      </c>
      <c r="E6" s="297"/>
      <c r="F6" s="465" t="s">
        <v>128</v>
      </c>
      <c r="G6" s="476" t="s">
        <v>129</v>
      </c>
      <c r="H6" s="462" t="s">
        <v>130</v>
      </c>
      <c r="I6" s="464"/>
      <c r="J6" s="464"/>
      <c r="K6" s="464"/>
      <c r="L6" s="464"/>
      <c r="M6" s="464"/>
      <c r="N6" s="464"/>
      <c r="O6" s="464"/>
      <c r="P6" s="464"/>
      <c r="Q6" s="228" t="s">
        <v>131</v>
      </c>
      <c r="R6" s="228">
        <v>0</v>
      </c>
      <c r="S6" s="228">
        <v>1</v>
      </c>
      <c r="T6" s="84"/>
      <c r="U6" s="84"/>
      <c r="V6" s="84"/>
      <c r="W6" s="85"/>
      <c r="X6" s="291"/>
      <c r="Y6" s="221"/>
      <c r="Z6" s="295"/>
      <c r="AA6" s="475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473" t="s">
        <v>82</v>
      </c>
      <c r="AO6" s="473"/>
      <c r="AP6" s="473"/>
      <c r="AQ6" s="473"/>
      <c r="AR6" s="473"/>
      <c r="AS6" s="473"/>
      <c r="AT6" s="469" t="s">
        <v>70</v>
      </c>
      <c r="AU6" s="469"/>
      <c r="AV6" s="462" t="s">
        <v>105</v>
      </c>
      <c r="AW6" s="463"/>
      <c r="AX6" s="462" t="s">
        <v>132</v>
      </c>
      <c r="AY6" s="464"/>
      <c r="AZ6" s="464"/>
      <c r="BA6" s="465"/>
      <c r="BB6" s="211" t="s">
        <v>133</v>
      </c>
      <c r="BC6" s="219" t="s">
        <v>134</v>
      </c>
      <c r="BD6" s="219"/>
      <c r="BE6" s="219"/>
    </row>
    <row r="7" spans="1:58" s="290" customFormat="1" ht="39" customHeight="1" x14ac:dyDescent="0.25">
      <c r="A7" s="279" t="s">
        <v>135</v>
      </c>
      <c r="B7" s="274" t="s">
        <v>80</v>
      </c>
      <c r="C7" s="281"/>
      <c r="D7" s="281"/>
      <c r="E7" s="241" t="s">
        <v>136</v>
      </c>
      <c r="F7" s="478"/>
      <c r="G7" s="477"/>
      <c r="H7" s="275" t="s">
        <v>137</v>
      </c>
      <c r="I7" s="276" t="s">
        <v>138</v>
      </c>
      <c r="J7" s="282" t="s">
        <v>139</v>
      </c>
      <c r="K7" s="277" t="s">
        <v>140</v>
      </c>
      <c r="L7" s="281" t="s">
        <v>141</v>
      </c>
      <c r="M7" s="275" t="s">
        <v>142</v>
      </c>
      <c r="N7" s="276" t="s">
        <v>143</v>
      </c>
      <c r="O7" s="282" t="s">
        <v>144</v>
      </c>
      <c r="P7" s="277" t="s">
        <v>145</v>
      </c>
      <c r="Q7" s="281" t="s">
        <v>146</v>
      </c>
      <c r="R7" s="281" t="s">
        <v>147</v>
      </c>
      <c r="S7" s="281" t="s">
        <v>148</v>
      </c>
      <c r="T7" s="211" t="s">
        <v>149</v>
      </c>
      <c r="U7" s="211" t="s">
        <v>150</v>
      </c>
      <c r="V7" s="275" t="s">
        <v>151</v>
      </c>
      <c r="W7" s="278" t="s">
        <v>152</v>
      </c>
      <c r="X7" s="278" t="s">
        <v>153</v>
      </c>
      <c r="Y7" s="283" t="s">
        <v>154</v>
      </c>
      <c r="Z7" s="284" t="s">
        <v>155</v>
      </c>
      <c r="AA7" s="285" t="s">
        <v>134</v>
      </c>
      <c r="AB7" s="286" t="s">
        <v>49</v>
      </c>
      <c r="AC7" s="286" t="s">
        <v>59</v>
      </c>
      <c r="AD7" s="286" t="s">
        <v>57</v>
      </c>
      <c r="AE7" s="286" t="s">
        <v>55</v>
      </c>
      <c r="AF7" s="286" t="s">
        <v>156</v>
      </c>
      <c r="AG7" s="286" t="s">
        <v>157</v>
      </c>
      <c r="AH7" s="286" t="s">
        <v>61</v>
      </c>
      <c r="AI7" s="286" t="s">
        <v>65</v>
      </c>
      <c r="AJ7" s="286" t="s">
        <v>74</v>
      </c>
      <c r="AK7" s="286" t="s">
        <v>76</v>
      </c>
      <c r="AL7" s="286" t="s">
        <v>158</v>
      </c>
      <c r="AM7" s="286" t="s">
        <v>78</v>
      </c>
      <c r="AN7" s="287" t="s">
        <v>159</v>
      </c>
      <c r="AO7" s="286" t="s">
        <v>160</v>
      </c>
      <c r="AP7" s="286" t="s">
        <v>81</v>
      </c>
      <c r="AQ7" s="286" t="s">
        <v>161</v>
      </c>
      <c r="AR7" s="286" t="s">
        <v>162</v>
      </c>
      <c r="AS7" s="286" t="s">
        <v>39</v>
      </c>
      <c r="AT7" s="288" t="s">
        <v>163</v>
      </c>
      <c r="AU7" s="288" t="s">
        <v>164</v>
      </c>
      <c r="AV7" s="279" t="s">
        <v>165</v>
      </c>
      <c r="AW7" s="280" t="s">
        <v>166</v>
      </c>
      <c r="AX7" s="279" t="s">
        <v>38</v>
      </c>
      <c r="AY7" s="241" t="s">
        <v>39</v>
      </c>
      <c r="AZ7" s="241" t="s">
        <v>81</v>
      </c>
      <c r="BA7" s="280" t="s">
        <v>167</v>
      </c>
      <c r="BB7" s="280" t="s">
        <v>167</v>
      </c>
      <c r="BC7" s="289" t="s">
        <v>165</v>
      </c>
      <c r="BD7" s="289" t="s">
        <v>168</v>
      </c>
      <c r="BE7" s="289" t="s">
        <v>169</v>
      </c>
      <c r="BF7" s="290" t="s">
        <v>170</v>
      </c>
    </row>
    <row r="8" spans="1:58" s="1" customFormat="1" ht="15" x14ac:dyDescent="0.3">
      <c r="A8" s="218">
        <f t="shared" ref="A8:A38" si="0">WEEKNUM(B8)</f>
        <v>18</v>
      </c>
      <c r="B8" s="47">
        <f>Apr!B37+1</f>
        <v>42124</v>
      </c>
      <c r="C8" s="219">
        <f t="shared" ref="C8:C38" si="1">NETWORKDAYS(B8,B8,Feiertage)</f>
        <v>0</v>
      </c>
      <c r="D8" s="220" t="str">
        <f t="shared" ref="D8:D38" si="2">IF(ISERROR(VLOOKUP(B8,Feiertage_ganz,4,FALSE)),"",(VLOOKUP(B8,Feiertage_ganz,4,FALSE)))</f>
        <v>Tag der Arbeit</v>
      </c>
      <c r="E8" s="298" t="str">
        <f t="shared" ref="E8:E38" si="3">D8</f>
        <v>Tag der Arbeit</v>
      </c>
      <c r="F8" s="87">
        <f t="shared" ref="F8:F38" si="4">B8</f>
        <v>42124</v>
      </c>
      <c r="G8" s="147"/>
      <c r="H8" s="214"/>
      <c r="I8" s="75"/>
      <c r="J8" s="221">
        <f t="shared" ref="J8:J38" si="5">I8-H8</f>
        <v>0</v>
      </c>
      <c r="K8" s="76"/>
      <c r="L8" s="221">
        <f>IF(J8-K8&gt;Pause_9,Pause_9p,IF(J8-K8&gt;Pause_6,Pause_6p,0))</f>
        <v>0</v>
      </c>
      <c r="M8" s="74"/>
      <c r="N8" s="75"/>
      <c r="O8" s="221">
        <f t="shared" ref="O8:O38" si="6">N8-M8</f>
        <v>0</v>
      </c>
      <c r="P8" s="76"/>
      <c r="Q8" s="221">
        <f>IF(O8-P8&gt;Pause_9,Pause_9p,IF(O8-P8&gt;Pause_6,Pause_6p,0))</f>
        <v>0</v>
      </c>
      <c r="R8" s="221">
        <f>IF(J8+O8-K8-P8&gt;Pause_9,Pause_9p,IF(J8+O8-K8-P8&gt;Pause_6,Pause_6p,0))</f>
        <v>0</v>
      </c>
      <c r="S8" s="221">
        <f t="shared" ref="S8:S38" si="7">IF(M8&gt;I8,IF(M8-I8+K8+P8&gt;=R8,K8+P8,R8),IF(K8+P8&gt;=R8,K8+P8,R8))</f>
        <v>0</v>
      </c>
      <c r="T8" s="79">
        <f t="shared" ref="T8:T38" si="8">IF(I8&lt;=M8,I8-H8+N8-M8,IF(I8&lt;=N8,N8-H8,I8-H8))</f>
        <v>0</v>
      </c>
      <c r="U8" s="79">
        <f>ROUND(T8-S8,10)</f>
        <v>0</v>
      </c>
      <c r="V8" s="80">
        <f t="shared" ref="V8:V38" si="9">ROUND(IF(AND(D8&lt;&gt;"",G8=""),IF(ISERROR(VLOOKUP(B8,Feiertage,3,FALSE)),0,Z8),IF(B8="",0,IF(G8&lt;&gt;"",IF(UPPER(G8)=VLOOKUP(UPPER(G8),Code,1,FALSE),VLOOKUP(G8,Code,2,FALSE)*Z8,Z8),Z8))),10)</f>
        <v>0</v>
      </c>
      <c r="W8" s="249" t="str">
        <f t="shared" ref="W8:W38" si="10">IF(OR(AND(VLOOKUP(UPPER(G8),Code,3,FALSE)=2,U8&gt;V8),AND(I8&lt;&gt;0,B8&lt;&gt;"",G8=""),VLOOKUP(UPPER(G8),Code,3,FALSE)=1),U8-V8,"")</f>
        <v/>
      </c>
      <c r="X8" s="292"/>
      <c r="Y8" s="221">
        <f t="shared" ref="Y8:Y38" si="11">IF(G8&lt;&gt;"",IF(VLOOKUP(G8,Code,2,FALSE)=2,U8,IF(AND(VLOOKUP(G8,Code,2,FALSE)=1,U8&gt;Z8),U8,0)),0)</f>
        <v>0</v>
      </c>
      <c r="Z8" s="299">
        <f ca="1">IF(B8="","",INDIRECT(ADDRESS(MATCH(B8,Soll_AZ,1)+MATCH("Arbeitszeit 1 ab",Voreinstellung_Übersicht!B:B,0)-1,WEEKDAY(B8,2)+4,,,"Voreinstellung_Übersicht"),TRUE))</f>
        <v>0.33333333333333331</v>
      </c>
      <c r="AA8" s="300">
        <f>IF(W8="",Übertrag_Mehrarbeit,Übertrag_Mehrarbeit+W8)</f>
        <v>0</v>
      </c>
      <c r="AB8" s="219">
        <f t="shared" ref="AB8:AB38" si="12">IF(AND($G8&lt;&gt;0,IF(ISERROR(VLOOKUP($G8,Code,1,FALSE)),FALSE,VLOOKUP($G8,Code,1,FALSE)="U"),$C8=1),1,0)</f>
        <v>0</v>
      </c>
      <c r="AC8" s="219">
        <f t="shared" ref="AC8:AC38" si="13">IF(AND($G8&lt;&gt;0,IF(ISERROR(VLOOKUP($G8,Code,1,FALSE)),FALSE,VLOOKUP($G8,Code,1,FALSE))="WB"),1,0)</f>
        <v>0</v>
      </c>
      <c r="AD8" s="219">
        <f t="shared" ref="AD8:AD38" si="14">IF(AND($G8&lt;&gt;0,IF(ISERROR(VLOOKUP($G8,Code,1,FALSE)),FALSE,VLOOKUP($G8,Code,1,FALSE))="DR",$C8=1),1,0)</f>
        <v>0</v>
      </c>
      <c r="AE8" s="219">
        <f t="shared" ref="AE8:AE38" si="15">IF(AND($G8&lt;&gt;0,IF(ISERROR(VLOOKUP($G8,Code,1,FALSE)),FALSE,VLOOKUP($G8,Code,1,FALSE))="KK",$C8=1),1,0)</f>
        <v>0</v>
      </c>
      <c r="AF8" s="219">
        <f t="shared" ref="AF8:AF38" si="16">IF(AND($G8&lt;&gt;0,IF(ISERROR(VLOOKUP($G8,Code,1,FALSE)),FALSE,VLOOKUP($G8,Code,1,FALSE))="K",$C8=1),1,0)</f>
        <v>0</v>
      </c>
      <c r="AG8" s="219">
        <f t="shared" ref="AG8:AG38" si="17">IF(AND($G8&lt;&gt;0,IF(ISERROR(VLOOKUP($G8,Code,1,FALSE)),FALSE,VLOOKUP($G8,Code,1,FALSE))="KZT"),1,0)</f>
        <v>0</v>
      </c>
      <c r="AH8" s="219">
        <f t="shared" ref="AH8:AH38" si="18">IF(AND($G8&lt;&gt;0,IF(ISERROR(VLOOKUP($G8,Code,1,FALSE)),FALSE,VLOOKUP($G8,Code,1,FALSE))="mEG",$C8=1),1,0)</f>
        <v>0</v>
      </c>
      <c r="AI8" s="219">
        <f t="shared" ref="AI8:AI38" si="19">IF(AND($G8&lt;&gt;0,IF(ISERROR(VLOOKUP($G8,Code,1,FALSE)),FALSE,VLOOKUP($G8,Code,1,FALSE))="Ku"),1,0)</f>
        <v>0</v>
      </c>
      <c r="AJ8" s="219">
        <f t="shared" ref="AJ8:AJ38" si="20">IF(AND($G8&lt;&gt;0,IF(ISERROR(VLOOKUP($G8,Code,1,FALSE)),FALSE,VLOOKUP($G8,Code,1,FALSE))="§29(1)",$C8=1),1,0)</f>
        <v>0</v>
      </c>
      <c r="AK8" s="219">
        <f t="shared" ref="AK8:AK38" si="21">IF(AND($G8&lt;&gt;0,IF(ISERROR(VLOOKUP($G8,Code,1,FALSE)),FALSE,VLOOKUP($G8,Code,1,FALSE))="§29(2)",$C8=1),1,0)</f>
        <v>0</v>
      </c>
      <c r="AL8" s="219">
        <f t="shared" ref="AL8:AL38" si="22">IF(AND($G8&lt;&gt;0,IF(ISERROR(VLOOKUP($G8,Code,1,FALSE)),FALSE,VLOOKUP($G8,Code,1,FALSE))="§29(3)",$C8=1),1,0)</f>
        <v>0</v>
      </c>
      <c r="AM8" s="219">
        <f t="shared" ref="AM8:AM38" si="23">IF(AND($G8&lt;&gt;0,IF(ISERROR(VLOOKUP($G8,Code,1,FALSE)),FALSE,VLOOKUP($G8,Code,1,FALSE))="§29(4)",$C8=1),1,0)</f>
        <v>0</v>
      </c>
      <c r="AN8" s="301">
        <f t="shared" ref="AN8:AN38" si="24">IF(OR(AND(H8&lt;Nacht_6,I8-K8&lt;=Nacht_6),AND(I8&gt;Nacht_22,H8+K8&gt;=Nacht_22)),I8-H8-K8,IF(H8&lt;Nacht_6,IF(I8&gt;Nacht_22,Nacht_6-H8+I8-Nacht_22,Nacht_6-H8),IF(I8&gt;Nacht_22,I8-Nacht_22,0)))</f>
        <v>0</v>
      </c>
      <c r="AO8" s="301">
        <f t="shared" ref="AO8:AO38" si="25">IF(OR(AND(M8&lt;Nacht_6,N8-P8&lt;=Nacht_6),AND(N8&gt;Nacht_22,M8+P8&gt;=Nacht_22)),N8-M8-P8,IF(M8&lt;Nacht_6,IF(N8&gt;Nacht_22,Nacht_6-M8+N8-Nacht_22,Nacht_6-M8),IF(N8&gt;Nacht_22,N8-Nacht_22,0)))</f>
        <v>0</v>
      </c>
      <c r="AP8" s="301">
        <f t="shared" ref="AP8:AP38" si="26">IF(ISERROR(VLOOKUP(B8,Feiertage_ganz,3,FALSE)),0,IF(VLOOKUP(B8,Feiertage_ganz,3,FALSE)=1,U8,0))</f>
        <v>0</v>
      </c>
      <c r="AQ8" s="301">
        <f t="shared" ref="AQ8:AQ38" si="27">IF(OR(I8&lt;=Samstagszuschlag,H8&gt;=Nacht_22),0,IF(H8&lt;=Samstagszuschlag,IF(I8&lt;=Nacht_22,I8-Samstagszuschlag,Nacht_22-Samstagszuschlag),IF(I8&lt;=Nacht_22,I8-H8,Nacht_22-H8)))</f>
        <v>0</v>
      </c>
      <c r="AR8" s="301">
        <f t="shared" ref="AR8:AR38" si="28">IF(OR(N8&lt;=Samstagszuschlag,M8&lt;=Nacht_22),0,IF(M8&lt;=Samstagszuschlag,IF(N8&lt;=Nacht_22,N8-Samstagszuschlag,Nacht_22-Samstagszuschlag),IF(N8&lt;=Nacht_22,N8-M8,Nacht_22-M8)))</f>
        <v>0</v>
      </c>
      <c r="AS8" s="301">
        <f t="shared" ref="AS8:AS38" si="29">IF(WEEKDAY(B8,2)=7,U8,0)</f>
        <v>0</v>
      </c>
      <c r="AT8" s="302">
        <f t="shared" ref="AT8:AT38" si="30">IF(ISERROR(VLOOKUP(G8,Code_Liste,1,FALSE)),0,I8-H8)</f>
        <v>0</v>
      </c>
      <c r="AU8" s="302">
        <f t="shared" ref="AU8:AU38" si="31">IF(ISERROR(VLOOKUP(G8,Code_Liste,1,FALSE)),0,N8-M8)</f>
        <v>0</v>
      </c>
      <c r="AV8" s="81">
        <f t="shared" ref="AV8:AV38" si="32">SUM(AN8:AO8)</f>
        <v>0</v>
      </c>
      <c r="AW8" s="82">
        <f t="shared" ref="AW8:AW38" si="33">AV8*Zuschlag_Nacht/100</f>
        <v>0</v>
      </c>
      <c r="AX8" s="81">
        <f t="shared" ref="AX8:AX38" si="34">IF(WEEKDAY(B8,2)=6,AQ8+AR8,0)</f>
        <v>0</v>
      </c>
      <c r="AY8" s="83">
        <f t="shared" ref="AY8:AY38" si="35">AS8</f>
        <v>0</v>
      </c>
      <c r="AZ8" s="83">
        <f t="shared" ref="AZ8:AZ38" si="36">AP8</f>
        <v>0</v>
      </c>
      <c r="BA8" s="82">
        <f>IF(OR(B8=Feiertage!$A$16,B8=Feiertage!$A$19),U8*Zuschläge_24_31/100,IF(AZ8&gt;0,AZ8*Feiertag_mit/100,IF(AX8&gt;0,AX8*Zuschläge_Sa/100,IF(AY8&gt;0,AY8*Zuschlag_So/100,0))))</f>
        <v>0</v>
      </c>
      <c r="BB8" s="82">
        <f>IF(AND(B8&lt;&gt;0,G8=Voreinstellung_Übersicht!$D$41),IF(EG=1,W8*Über_klein/100,IF(EG=2,W8*Über_groß/100,"Fehler")),0)</f>
        <v>0</v>
      </c>
      <c r="BC8" s="299">
        <f ca="1">Apr!BC39</f>
        <v>0</v>
      </c>
      <c r="BD8" s="219">
        <f t="shared" ref="BD8:BD38" ca="1" si="37">IF(OR(AND(BC8&gt;=0,BC8&lt;=(grün_plus*BE8/100%)),AND(BC8&lt;=0,BC8&gt;=(grün_minus*BE8/100%))),1,IF(OR(AND(BC8&gt;0,BC8&lt;=(gelb_plus*BE8/100%)),AND(BC8&lt;0,BC8&gt;=(gelb_minus*BE8/100%))),2,3))</f>
        <v>1</v>
      </c>
      <c r="BE8" s="303">
        <f ca="1">IF(B8="","",INDIRECT(ADDRESS(MATCH(B8,Soll_AZ,1)+MATCH("Arbeitszeit 1 ab",Voreinstellung_Übersicht!B:B,0)-1,4,,,"Voreinstellung_Übersicht"),TRUE))</f>
        <v>1.6666666666666665</v>
      </c>
      <c r="BF8" s="1">
        <f>IF(OR(G8="WB",G8="DR",U8&gt;0),1,0)</f>
        <v>0</v>
      </c>
    </row>
    <row r="9" spans="1:58" s="1" customFormat="1" ht="15" x14ac:dyDescent="0.3">
      <c r="A9" s="218">
        <f t="shared" si="0"/>
        <v>18</v>
      </c>
      <c r="B9" s="47">
        <f t="shared" ref="B9:B38" si="38">B8+1</f>
        <v>42125</v>
      </c>
      <c r="C9" s="219">
        <f t="shared" si="1"/>
        <v>1</v>
      </c>
      <c r="D9" s="220" t="str">
        <f t="shared" si="2"/>
        <v/>
      </c>
      <c r="E9" s="298" t="str">
        <f t="shared" si="3"/>
        <v/>
      </c>
      <c r="F9" s="87">
        <f t="shared" si="4"/>
        <v>42125</v>
      </c>
      <c r="G9" s="147"/>
      <c r="H9" s="74"/>
      <c r="I9" s="75"/>
      <c r="J9" s="221">
        <f t="shared" si="5"/>
        <v>0</v>
      </c>
      <c r="K9" s="76"/>
      <c r="L9" s="221">
        <f>IF(J9-K9&gt;Pause_9,Pause_9p,IF(J9-K9&gt;Pause_6,Pause_6p,0))</f>
        <v>0</v>
      </c>
      <c r="M9" s="74"/>
      <c r="N9" s="75"/>
      <c r="O9" s="221">
        <f t="shared" si="6"/>
        <v>0</v>
      </c>
      <c r="P9" s="76"/>
      <c r="Q9" s="221">
        <f>IF(O9-P9&gt;Pause_9,Pause_9p,IF(O9-P9&gt;Pause_6,Pause_6p,0))</f>
        <v>0</v>
      </c>
      <c r="R9" s="221">
        <f>IF(J9+O9-K9-P9&gt;Pause_9,Pause_9p,IF(J9+O9-K9-P9&gt;Pause_6,Pause_6p,0))</f>
        <v>0</v>
      </c>
      <c r="S9" s="221">
        <f t="shared" si="7"/>
        <v>0</v>
      </c>
      <c r="T9" s="79">
        <f t="shared" si="8"/>
        <v>0</v>
      </c>
      <c r="U9" s="79">
        <f t="shared" ref="U9:U38" si="39">ROUND(T9-S9,10)</f>
        <v>0</v>
      </c>
      <c r="V9" s="80">
        <f t="shared" ca="1" si="9"/>
        <v>0.33333333329999998</v>
      </c>
      <c r="W9" s="249" t="str">
        <f t="shared" ca="1" si="10"/>
        <v/>
      </c>
      <c r="X9" s="293"/>
      <c r="Y9" s="221">
        <f t="shared" si="11"/>
        <v>0</v>
      </c>
      <c r="Z9" s="299">
        <f ca="1">IF(B9="","",INDIRECT(ADDRESS(MATCH(B9,Soll_AZ,1)+MATCH("Arbeitszeit 1 ab",Voreinstellung_Übersicht!B:B,0)-1,WEEKDAY(B9,2)+4,,,"Voreinstellung_Übersicht"),TRUE))</f>
        <v>0.33333333333333331</v>
      </c>
      <c r="AA9" s="300">
        <f t="shared" ref="AA9:AA38" ca="1" si="40">IF(W9="",AA8,AA8+W9)</f>
        <v>0</v>
      </c>
      <c r="AB9" s="219">
        <f t="shared" si="12"/>
        <v>0</v>
      </c>
      <c r="AC9" s="219">
        <f t="shared" si="13"/>
        <v>0</v>
      </c>
      <c r="AD9" s="219">
        <f t="shared" si="14"/>
        <v>0</v>
      </c>
      <c r="AE9" s="219">
        <f t="shared" si="15"/>
        <v>0</v>
      </c>
      <c r="AF9" s="219">
        <f t="shared" si="16"/>
        <v>0</v>
      </c>
      <c r="AG9" s="219">
        <f t="shared" si="17"/>
        <v>0</v>
      </c>
      <c r="AH9" s="219">
        <f t="shared" si="18"/>
        <v>0</v>
      </c>
      <c r="AI9" s="219">
        <f t="shared" si="19"/>
        <v>0</v>
      </c>
      <c r="AJ9" s="219">
        <f t="shared" si="20"/>
        <v>0</v>
      </c>
      <c r="AK9" s="219">
        <f t="shared" si="21"/>
        <v>0</v>
      </c>
      <c r="AL9" s="219">
        <f t="shared" si="22"/>
        <v>0</v>
      </c>
      <c r="AM9" s="219">
        <f t="shared" si="23"/>
        <v>0</v>
      </c>
      <c r="AN9" s="301">
        <f t="shared" si="24"/>
        <v>0</v>
      </c>
      <c r="AO9" s="301">
        <f t="shared" si="25"/>
        <v>0</v>
      </c>
      <c r="AP9" s="301">
        <f t="shared" si="26"/>
        <v>0</v>
      </c>
      <c r="AQ9" s="301">
        <f t="shared" si="27"/>
        <v>0</v>
      </c>
      <c r="AR9" s="301">
        <f t="shared" si="28"/>
        <v>0</v>
      </c>
      <c r="AS9" s="301">
        <f t="shared" si="29"/>
        <v>0</v>
      </c>
      <c r="AT9" s="302">
        <f t="shared" si="30"/>
        <v>0</v>
      </c>
      <c r="AU9" s="302">
        <f t="shared" si="31"/>
        <v>0</v>
      </c>
      <c r="AV9" s="81">
        <f t="shared" si="32"/>
        <v>0</v>
      </c>
      <c r="AW9" s="82">
        <f t="shared" si="33"/>
        <v>0</v>
      </c>
      <c r="AX9" s="81">
        <f t="shared" si="34"/>
        <v>0</v>
      </c>
      <c r="AY9" s="83">
        <f t="shared" si="35"/>
        <v>0</v>
      </c>
      <c r="AZ9" s="83">
        <f t="shared" si="36"/>
        <v>0</v>
      </c>
      <c r="BA9" s="82">
        <f>IF(OR(B9=Feiertage!$A$16,B9=Feiertage!$A$19),U9*Zuschläge_24_31/100,IF(AZ9&gt;0,AZ9*Feiertag_mit/100,IF(AX9&gt;0,AX9*Zuschläge_Sa/100,IF(AY9&gt;0,AY9*Zuschlag_So/100,0))))</f>
        <v>0</v>
      </c>
      <c r="BB9" s="82">
        <f>IF(AND(B9&lt;&gt;0,G9=Voreinstellung_Übersicht!$D$41),IF(EG=1,W9*Über_klein/100,IF(EG=2,W9*Über_groß/100,"Fehler")),0)</f>
        <v>0</v>
      </c>
      <c r="BC9" s="299">
        <f t="shared" ref="BC9:BC38" ca="1" si="41">IF(W9="",BC8,BC8+W9)</f>
        <v>0</v>
      </c>
      <c r="BD9" s="219">
        <f t="shared" ca="1" si="37"/>
        <v>1</v>
      </c>
      <c r="BE9" s="303">
        <f ca="1">IF(B9="","",INDIRECT(ADDRESS(MATCH(B9,Soll_AZ,1)+MATCH("Arbeitszeit 1 ab",Voreinstellung_Übersicht!B:B,0)-1,4,,,"Voreinstellung_Übersicht"),TRUE))</f>
        <v>1.6666666666666665</v>
      </c>
      <c r="BF9" s="1">
        <f t="shared" ref="BF9:BF38" si="42">IF(OR(G9="WB",G9="DR",U9&gt;0),1,0)</f>
        <v>0</v>
      </c>
    </row>
    <row r="10" spans="1:58" s="1" customFormat="1" ht="15" x14ac:dyDescent="0.3">
      <c r="A10" s="218">
        <f t="shared" si="0"/>
        <v>18</v>
      </c>
      <c r="B10" s="47">
        <f t="shared" si="38"/>
        <v>42126</v>
      </c>
      <c r="C10" s="219">
        <f t="shared" si="1"/>
        <v>1</v>
      </c>
      <c r="D10" s="220" t="str">
        <f t="shared" si="2"/>
        <v/>
      </c>
      <c r="E10" s="298" t="str">
        <f t="shared" si="3"/>
        <v/>
      </c>
      <c r="F10" s="87">
        <f t="shared" si="4"/>
        <v>42126</v>
      </c>
      <c r="G10" s="147"/>
      <c r="H10" s="74"/>
      <c r="I10" s="75"/>
      <c r="J10" s="221">
        <f t="shared" si="5"/>
        <v>0</v>
      </c>
      <c r="K10" s="76"/>
      <c r="L10" s="221">
        <f>IF(J10-K10&gt;=Pause_9,Pause_9p,IF(J10-K10&gt;=Pause_6,Pause_6p,0))</f>
        <v>0</v>
      </c>
      <c r="M10" s="74"/>
      <c r="N10" s="75"/>
      <c r="O10" s="221">
        <f t="shared" si="6"/>
        <v>0</v>
      </c>
      <c r="P10" s="76"/>
      <c r="Q10" s="221">
        <f>IF(O10-P10&gt;Pause_9,Pause_9p,IF(O10-P10&gt;Pause_6,Pause_6p,0))</f>
        <v>0</v>
      </c>
      <c r="R10" s="221">
        <f>IF(J10+O10-K10-P10&gt;Pause_9,Pause_9p,IF(J10+O10-K10-P10&gt;Pause_6,Pause_6p,0))</f>
        <v>0</v>
      </c>
      <c r="S10" s="221">
        <f t="shared" si="7"/>
        <v>0</v>
      </c>
      <c r="T10" s="79">
        <f t="shared" si="8"/>
        <v>0</v>
      </c>
      <c r="U10" s="79">
        <f t="shared" si="39"/>
        <v>0</v>
      </c>
      <c r="V10" s="80">
        <f t="shared" ca="1" si="9"/>
        <v>0.33333333329999998</v>
      </c>
      <c r="W10" s="249" t="str">
        <f t="shared" ca="1" si="10"/>
        <v/>
      </c>
      <c r="X10" s="293"/>
      <c r="Y10" s="221">
        <f t="shared" si="11"/>
        <v>0</v>
      </c>
      <c r="Z10" s="299">
        <f ca="1">IF(B10="","",INDIRECT(ADDRESS(MATCH(B10,Soll_AZ,1)+MATCH("Arbeitszeit 1 ab",Voreinstellung_Übersicht!B:B,0)-1,WEEKDAY(B10,2)+4,,,"Voreinstellung_Übersicht"),TRUE))</f>
        <v>0.33333333333333331</v>
      </c>
      <c r="AA10" s="300">
        <f t="shared" ca="1" si="40"/>
        <v>0</v>
      </c>
      <c r="AB10" s="219">
        <f t="shared" si="12"/>
        <v>0</v>
      </c>
      <c r="AC10" s="219">
        <f t="shared" si="13"/>
        <v>0</v>
      </c>
      <c r="AD10" s="219">
        <f t="shared" si="14"/>
        <v>0</v>
      </c>
      <c r="AE10" s="219">
        <f t="shared" si="15"/>
        <v>0</v>
      </c>
      <c r="AF10" s="219">
        <f t="shared" si="16"/>
        <v>0</v>
      </c>
      <c r="AG10" s="219">
        <f t="shared" si="17"/>
        <v>0</v>
      </c>
      <c r="AH10" s="219">
        <f t="shared" si="18"/>
        <v>0</v>
      </c>
      <c r="AI10" s="219">
        <f t="shared" si="19"/>
        <v>0</v>
      </c>
      <c r="AJ10" s="219">
        <f t="shared" si="20"/>
        <v>0</v>
      </c>
      <c r="AK10" s="219">
        <f t="shared" si="21"/>
        <v>0</v>
      </c>
      <c r="AL10" s="219">
        <f t="shared" si="22"/>
        <v>0</v>
      </c>
      <c r="AM10" s="219">
        <f t="shared" si="23"/>
        <v>0</v>
      </c>
      <c r="AN10" s="301">
        <f t="shared" si="24"/>
        <v>0</v>
      </c>
      <c r="AO10" s="301">
        <f t="shared" si="25"/>
        <v>0</v>
      </c>
      <c r="AP10" s="301">
        <f t="shared" si="26"/>
        <v>0</v>
      </c>
      <c r="AQ10" s="301">
        <f t="shared" si="27"/>
        <v>0</v>
      </c>
      <c r="AR10" s="301">
        <f t="shared" si="28"/>
        <v>0</v>
      </c>
      <c r="AS10" s="301">
        <f t="shared" si="29"/>
        <v>0</v>
      </c>
      <c r="AT10" s="302">
        <f t="shared" si="30"/>
        <v>0</v>
      </c>
      <c r="AU10" s="302">
        <f t="shared" si="31"/>
        <v>0</v>
      </c>
      <c r="AV10" s="81">
        <f t="shared" si="32"/>
        <v>0</v>
      </c>
      <c r="AW10" s="82">
        <f t="shared" si="33"/>
        <v>0</v>
      </c>
      <c r="AX10" s="81">
        <f t="shared" si="34"/>
        <v>0</v>
      </c>
      <c r="AY10" s="83">
        <f t="shared" si="35"/>
        <v>0</v>
      </c>
      <c r="AZ10" s="83">
        <f t="shared" si="36"/>
        <v>0</v>
      </c>
      <c r="BA10" s="82">
        <f>IF(OR(B10=Feiertage!$A$16,B10=Feiertage!$A$19),U10*Zuschläge_24_31/100,IF(AZ10&gt;0,AZ10*Feiertag_mit/100,IF(AX10&gt;0,AX10*Zuschläge_Sa/100,IF(AY10&gt;0,AY10*Zuschlag_So/100,0))))</f>
        <v>0</v>
      </c>
      <c r="BB10" s="82">
        <f>IF(AND(B10&lt;&gt;0,G10=Voreinstellung_Übersicht!$D$41),IF(EG=1,W10*Über_klein/100,IF(EG=2,W10*Über_groß/100,"Fehler")),0)</f>
        <v>0</v>
      </c>
      <c r="BC10" s="299">
        <f t="shared" ca="1" si="41"/>
        <v>0</v>
      </c>
      <c r="BD10" s="219">
        <f t="shared" ca="1" si="37"/>
        <v>1</v>
      </c>
      <c r="BE10" s="303">
        <f ca="1">IF(B10="","",INDIRECT(ADDRESS(MATCH(B10,Soll_AZ,1)+MATCH("Arbeitszeit 1 ab",Voreinstellung_Übersicht!B:B,0)-1,4,,,"Voreinstellung_Übersicht"),TRUE))</f>
        <v>1.6666666666666665</v>
      </c>
      <c r="BF10" s="1">
        <f t="shared" si="42"/>
        <v>0</v>
      </c>
    </row>
    <row r="11" spans="1:58" s="1" customFormat="1" ht="15" x14ac:dyDescent="0.3">
      <c r="A11" s="218">
        <f t="shared" si="0"/>
        <v>18</v>
      </c>
      <c r="B11" s="47">
        <f t="shared" si="38"/>
        <v>42127</v>
      </c>
      <c r="C11" s="219">
        <f t="shared" si="1"/>
        <v>0</v>
      </c>
      <c r="D11" s="220" t="str">
        <f t="shared" si="2"/>
        <v/>
      </c>
      <c r="E11" s="298" t="str">
        <f t="shared" si="3"/>
        <v/>
      </c>
      <c r="F11" s="87">
        <f t="shared" si="4"/>
        <v>42127</v>
      </c>
      <c r="G11" s="147"/>
      <c r="H11" s="74"/>
      <c r="I11" s="75"/>
      <c r="J11" s="221">
        <f t="shared" si="5"/>
        <v>0</v>
      </c>
      <c r="K11" s="76"/>
      <c r="L11" s="221">
        <f>IF(J11-K11&gt;=Pause_9,Pause_9p,IF(J11-K11&gt;=Pause_6,Pause_6p,0))</f>
        <v>0</v>
      </c>
      <c r="M11" s="74"/>
      <c r="N11" s="75"/>
      <c r="O11" s="221">
        <f t="shared" si="6"/>
        <v>0</v>
      </c>
      <c r="P11" s="76"/>
      <c r="Q11" s="221">
        <f>IF(O11-P11&gt;Pause_9,Pause_9p,IF(O11-P11&gt;Pause_6,Pause_6p,0))</f>
        <v>0</v>
      </c>
      <c r="R11" s="221">
        <f>IF(J11+O11-K11-P11&gt;Pause_9,Pause_9p,IF(J11+O11-K11-P11&gt;Pause_6,Pause_6p,0))</f>
        <v>0</v>
      </c>
      <c r="S11" s="221">
        <f t="shared" si="7"/>
        <v>0</v>
      </c>
      <c r="T11" s="79">
        <f t="shared" si="8"/>
        <v>0</v>
      </c>
      <c r="U11" s="79">
        <f t="shared" si="39"/>
        <v>0</v>
      </c>
      <c r="V11" s="80">
        <f t="shared" ca="1" si="9"/>
        <v>0</v>
      </c>
      <c r="W11" s="249" t="str">
        <f t="shared" ca="1" si="10"/>
        <v/>
      </c>
      <c r="X11" s="293"/>
      <c r="Y11" s="221">
        <f t="shared" si="11"/>
        <v>0</v>
      </c>
      <c r="Z11" s="299">
        <f ca="1">IF(B11="","",INDIRECT(ADDRESS(MATCH(B11,Soll_AZ,1)+MATCH("Arbeitszeit 1 ab",Voreinstellung_Übersicht!B:B,0)-1,WEEKDAY(B11,2)+4,,,"Voreinstellung_Übersicht"),TRUE))</f>
        <v>0</v>
      </c>
      <c r="AA11" s="300">
        <f t="shared" ca="1" si="40"/>
        <v>0</v>
      </c>
      <c r="AB11" s="219">
        <f t="shared" si="12"/>
        <v>0</v>
      </c>
      <c r="AC11" s="219">
        <f t="shared" si="13"/>
        <v>0</v>
      </c>
      <c r="AD11" s="219">
        <f t="shared" si="14"/>
        <v>0</v>
      </c>
      <c r="AE11" s="219">
        <f t="shared" si="15"/>
        <v>0</v>
      </c>
      <c r="AF11" s="219">
        <f t="shared" si="16"/>
        <v>0</v>
      </c>
      <c r="AG11" s="219">
        <f t="shared" si="17"/>
        <v>0</v>
      </c>
      <c r="AH11" s="219">
        <f t="shared" si="18"/>
        <v>0</v>
      </c>
      <c r="AI11" s="219">
        <f t="shared" si="19"/>
        <v>0</v>
      </c>
      <c r="AJ11" s="219">
        <f t="shared" si="20"/>
        <v>0</v>
      </c>
      <c r="AK11" s="219">
        <f t="shared" si="21"/>
        <v>0</v>
      </c>
      <c r="AL11" s="219">
        <f t="shared" si="22"/>
        <v>0</v>
      </c>
      <c r="AM11" s="219">
        <f t="shared" si="23"/>
        <v>0</v>
      </c>
      <c r="AN11" s="301">
        <f t="shared" si="24"/>
        <v>0</v>
      </c>
      <c r="AO11" s="301">
        <f t="shared" si="25"/>
        <v>0</v>
      </c>
      <c r="AP11" s="301">
        <f t="shared" si="26"/>
        <v>0</v>
      </c>
      <c r="AQ11" s="301">
        <f t="shared" si="27"/>
        <v>0</v>
      </c>
      <c r="AR11" s="301">
        <f t="shared" si="28"/>
        <v>0</v>
      </c>
      <c r="AS11" s="301">
        <f t="shared" si="29"/>
        <v>0</v>
      </c>
      <c r="AT11" s="302">
        <f t="shared" si="30"/>
        <v>0</v>
      </c>
      <c r="AU11" s="302">
        <f t="shared" si="31"/>
        <v>0</v>
      </c>
      <c r="AV11" s="81">
        <f t="shared" si="32"/>
        <v>0</v>
      </c>
      <c r="AW11" s="82">
        <f t="shared" si="33"/>
        <v>0</v>
      </c>
      <c r="AX11" s="81">
        <f t="shared" si="34"/>
        <v>0</v>
      </c>
      <c r="AY11" s="83">
        <f t="shared" si="35"/>
        <v>0</v>
      </c>
      <c r="AZ11" s="83">
        <f t="shared" si="36"/>
        <v>0</v>
      </c>
      <c r="BA11" s="82">
        <f>IF(OR(B11=Feiertage!$A$16,B11=Feiertage!$A$19),U11*Zuschläge_24_31/100,IF(AZ11&gt;0,AZ11*Feiertag_mit/100,IF(AX11&gt;0,AX11*Zuschläge_Sa/100,IF(AY11&gt;0,AY11*Zuschlag_So/100,0))))</f>
        <v>0</v>
      </c>
      <c r="BB11" s="82">
        <f>IF(AND(B11&lt;&gt;0,G11=Voreinstellung_Übersicht!$D$41),IF(EG=1,W11*Über_klein/100,IF(EG=2,W11*Über_groß/100,"Fehler")),0)</f>
        <v>0</v>
      </c>
      <c r="BC11" s="299">
        <f t="shared" ca="1" si="41"/>
        <v>0</v>
      </c>
      <c r="BD11" s="219">
        <f t="shared" ca="1" si="37"/>
        <v>1</v>
      </c>
      <c r="BE11" s="303">
        <f ca="1">IF(B11="","",INDIRECT(ADDRESS(MATCH(B11,Soll_AZ,1)+MATCH("Arbeitszeit 1 ab",Voreinstellung_Übersicht!B:B,0)-1,4,,,"Voreinstellung_Übersicht"),TRUE))</f>
        <v>1.6666666666666665</v>
      </c>
      <c r="BF11" s="1">
        <f t="shared" si="42"/>
        <v>0</v>
      </c>
    </row>
    <row r="12" spans="1:58" s="1" customFormat="1" ht="15" x14ac:dyDescent="0.3">
      <c r="A12" s="218">
        <f t="shared" si="0"/>
        <v>19</v>
      </c>
      <c r="B12" s="47">
        <f t="shared" si="38"/>
        <v>42128</v>
      </c>
      <c r="C12" s="219">
        <f t="shared" si="1"/>
        <v>0</v>
      </c>
      <c r="D12" s="220" t="str">
        <f t="shared" si="2"/>
        <v/>
      </c>
      <c r="E12" s="298" t="str">
        <f t="shared" si="3"/>
        <v/>
      </c>
      <c r="F12" s="87">
        <f t="shared" si="4"/>
        <v>42128</v>
      </c>
      <c r="G12" s="147"/>
      <c r="H12" s="74"/>
      <c r="I12" s="75"/>
      <c r="J12" s="221">
        <f t="shared" si="5"/>
        <v>0</v>
      </c>
      <c r="K12" s="76"/>
      <c r="L12" s="221">
        <f t="shared" ref="L12:L38" si="43">IF(J12&gt;=Pause_9,Pause_9p,IF(J12&gt;=Pause_6,Pause_6p,0))</f>
        <v>0</v>
      </c>
      <c r="M12" s="74"/>
      <c r="N12" s="75"/>
      <c r="O12" s="221">
        <f t="shared" si="6"/>
        <v>0</v>
      </c>
      <c r="P12" s="76"/>
      <c r="Q12" s="221">
        <f t="shared" ref="Q12:Q38" si="44">IF(O12&gt;Pause_9,Pause_9p,IF(O12&gt;=Pause_6,Pause_6p,0))</f>
        <v>0</v>
      </c>
      <c r="R12" s="221">
        <f t="shared" ref="R12:R38" si="45">IF(J12+O12&gt;=Pause_9,Pause_9p,IF(J12+O12&gt;=Pause_6,Pause_6p,0))</f>
        <v>0</v>
      </c>
      <c r="S12" s="221">
        <f t="shared" si="7"/>
        <v>0</v>
      </c>
      <c r="T12" s="79">
        <f t="shared" si="8"/>
        <v>0</v>
      </c>
      <c r="U12" s="79">
        <f t="shared" si="39"/>
        <v>0</v>
      </c>
      <c r="V12" s="80">
        <f t="shared" ca="1" si="9"/>
        <v>0</v>
      </c>
      <c r="W12" s="249" t="str">
        <f t="shared" ca="1" si="10"/>
        <v/>
      </c>
      <c r="X12" s="293"/>
      <c r="Y12" s="221">
        <f t="shared" si="11"/>
        <v>0</v>
      </c>
      <c r="Z12" s="299">
        <f ca="1">IF(B12="","",INDIRECT(ADDRESS(MATCH(B12,Soll_AZ,1)+MATCH("Arbeitszeit 1 ab",Voreinstellung_Übersicht!B:B,0)-1,WEEKDAY(B12,2)+4,,,"Voreinstellung_Übersicht"),TRUE))</f>
        <v>0</v>
      </c>
      <c r="AA12" s="300">
        <f t="shared" ca="1" si="40"/>
        <v>0</v>
      </c>
      <c r="AB12" s="219">
        <f t="shared" si="12"/>
        <v>0</v>
      </c>
      <c r="AC12" s="219">
        <f t="shared" si="13"/>
        <v>0</v>
      </c>
      <c r="AD12" s="219">
        <f t="shared" si="14"/>
        <v>0</v>
      </c>
      <c r="AE12" s="219">
        <f t="shared" si="15"/>
        <v>0</v>
      </c>
      <c r="AF12" s="219">
        <f t="shared" si="16"/>
        <v>0</v>
      </c>
      <c r="AG12" s="219">
        <f t="shared" si="17"/>
        <v>0</v>
      </c>
      <c r="AH12" s="219">
        <f t="shared" si="18"/>
        <v>0</v>
      </c>
      <c r="AI12" s="219">
        <f t="shared" si="19"/>
        <v>0</v>
      </c>
      <c r="AJ12" s="219">
        <f t="shared" si="20"/>
        <v>0</v>
      </c>
      <c r="AK12" s="219">
        <f t="shared" si="21"/>
        <v>0</v>
      </c>
      <c r="AL12" s="219">
        <f t="shared" si="22"/>
        <v>0</v>
      </c>
      <c r="AM12" s="219">
        <f t="shared" si="23"/>
        <v>0</v>
      </c>
      <c r="AN12" s="301">
        <f t="shared" si="24"/>
        <v>0</v>
      </c>
      <c r="AO12" s="301">
        <f t="shared" si="25"/>
        <v>0</v>
      </c>
      <c r="AP12" s="301">
        <f t="shared" si="26"/>
        <v>0</v>
      </c>
      <c r="AQ12" s="301">
        <f t="shared" si="27"/>
        <v>0</v>
      </c>
      <c r="AR12" s="301">
        <f t="shared" si="28"/>
        <v>0</v>
      </c>
      <c r="AS12" s="301">
        <f t="shared" si="29"/>
        <v>0</v>
      </c>
      <c r="AT12" s="302">
        <f t="shared" si="30"/>
        <v>0</v>
      </c>
      <c r="AU12" s="302">
        <f t="shared" si="31"/>
        <v>0</v>
      </c>
      <c r="AV12" s="81">
        <f t="shared" si="32"/>
        <v>0</v>
      </c>
      <c r="AW12" s="82">
        <f t="shared" si="33"/>
        <v>0</v>
      </c>
      <c r="AX12" s="81">
        <f t="shared" si="34"/>
        <v>0</v>
      </c>
      <c r="AY12" s="83">
        <f t="shared" si="35"/>
        <v>0</v>
      </c>
      <c r="AZ12" s="83">
        <f t="shared" si="36"/>
        <v>0</v>
      </c>
      <c r="BA12" s="82">
        <f>IF(OR(B12=Feiertage!$A$16,B12=Feiertage!$A$19),U12*Zuschläge_24_31/100,IF(AZ12&gt;0,AZ12*Feiertag_mit/100,IF(AX12&gt;0,AX12*Zuschläge_Sa/100,IF(AY12&gt;0,AY12*Zuschlag_So/100,0))))</f>
        <v>0</v>
      </c>
      <c r="BB12" s="82">
        <f>IF(AND(B12&lt;&gt;0,G12=Voreinstellung_Übersicht!$D$41),IF(EG=1,W12*Über_klein/100,IF(EG=2,W12*Über_groß/100,"Fehler")),0)</f>
        <v>0</v>
      </c>
      <c r="BC12" s="299">
        <f t="shared" ca="1" si="41"/>
        <v>0</v>
      </c>
      <c r="BD12" s="219">
        <f t="shared" ca="1" si="37"/>
        <v>1</v>
      </c>
      <c r="BE12" s="303">
        <f ca="1">IF(B12="","",INDIRECT(ADDRESS(MATCH(B12,Soll_AZ,1)+MATCH("Arbeitszeit 1 ab",Voreinstellung_Übersicht!B:B,0)-1,4,,,"Voreinstellung_Übersicht"),TRUE))</f>
        <v>1.6666666666666665</v>
      </c>
      <c r="BF12" s="1">
        <f t="shared" si="42"/>
        <v>0</v>
      </c>
    </row>
    <row r="13" spans="1:58" s="1" customFormat="1" ht="15" x14ac:dyDescent="0.3">
      <c r="A13" s="218">
        <f t="shared" si="0"/>
        <v>19</v>
      </c>
      <c r="B13" s="47">
        <f t="shared" si="38"/>
        <v>42129</v>
      </c>
      <c r="C13" s="219">
        <f t="shared" si="1"/>
        <v>1</v>
      </c>
      <c r="D13" s="220" t="str">
        <f t="shared" si="2"/>
        <v/>
      </c>
      <c r="E13" s="298" t="str">
        <f t="shared" si="3"/>
        <v/>
      </c>
      <c r="F13" s="87">
        <f t="shared" si="4"/>
        <v>42129</v>
      </c>
      <c r="G13" s="147"/>
      <c r="H13" s="74"/>
      <c r="I13" s="75"/>
      <c r="J13" s="221">
        <f t="shared" si="5"/>
        <v>0</v>
      </c>
      <c r="K13" s="76"/>
      <c r="L13" s="221">
        <f t="shared" si="43"/>
        <v>0</v>
      </c>
      <c r="M13" s="74"/>
      <c r="N13" s="75"/>
      <c r="O13" s="221">
        <f t="shared" si="6"/>
        <v>0</v>
      </c>
      <c r="P13" s="76"/>
      <c r="Q13" s="221">
        <f t="shared" si="44"/>
        <v>0</v>
      </c>
      <c r="R13" s="221">
        <f t="shared" si="45"/>
        <v>0</v>
      </c>
      <c r="S13" s="221">
        <f t="shared" si="7"/>
        <v>0</v>
      </c>
      <c r="T13" s="79">
        <f t="shared" si="8"/>
        <v>0</v>
      </c>
      <c r="U13" s="79">
        <f t="shared" si="39"/>
        <v>0</v>
      </c>
      <c r="V13" s="80">
        <f t="shared" ca="1" si="9"/>
        <v>0.33333333329999998</v>
      </c>
      <c r="W13" s="249" t="str">
        <f t="shared" ca="1" si="10"/>
        <v/>
      </c>
      <c r="X13" s="293"/>
      <c r="Y13" s="221">
        <f t="shared" si="11"/>
        <v>0</v>
      </c>
      <c r="Z13" s="299">
        <f ca="1">IF(B13="","",INDIRECT(ADDRESS(MATCH(B13,Soll_AZ,1)+MATCH("Arbeitszeit 1 ab",Voreinstellung_Übersicht!B:B,0)-1,WEEKDAY(B13,2)+4,,,"Voreinstellung_Übersicht"),TRUE))</f>
        <v>0.33333333333333331</v>
      </c>
      <c r="AA13" s="300">
        <f t="shared" ca="1" si="40"/>
        <v>0</v>
      </c>
      <c r="AB13" s="219">
        <f t="shared" si="12"/>
        <v>0</v>
      </c>
      <c r="AC13" s="219">
        <f t="shared" si="13"/>
        <v>0</v>
      </c>
      <c r="AD13" s="219">
        <f t="shared" si="14"/>
        <v>0</v>
      </c>
      <c r="AE13" s="219">
        <f t="shared" si="15"/>
        <v>0</v>
      </c>
      <c r="AF13" s="219">
        <f t="shared" si="16"/>
        <v>0</v>
      </c>
      <c r="AG13" s="219">
        <f t="shared" si="17"/>
        <v>0</v>
      </c>
      <c r="AH13" s="219">
        <f t="shared" si="18"/>
        <v>0</v>
      </c>
      <c r="AI13" s="219">
        <f t="shared" si="19"/>
        <v>0</v>
      </c>
      <c r="AJ13" s="219">
        <f t="shared" si="20"/>
        <v>0</v>
      </c>
      <c r="AK13" s="219">
        <f t="shared" si="21"/>
        <v>0</v>
      </c>
      <c r="AL13" s="219">
        <f t="shared" si="22"/>
        <v>0</v>
      </c>
      <c r="AM13" s="219">
        <f t="shared" si="23"/>
        <v>0</v>
      </c>
      <c r="AN13" s="301">
        <f t="shared" si="24"/>
        <v>0</v>
      </c>
      <c r="AO13" s="301">
        <f t="shared" si="25"/>
        <v>0</v>
      </c>
      <c r="AP13" s="301">
        <f t="shared" si="26"/>
        <v>0</v>
      </c>
      <c r="AQ13" s="301">
        <f t="shared" si="27"/>
        <v>0</v>
      </c>
      <c r="AR13" s="301">
        <f t="shared" si="28"/>
        <v>0</v>
      </c>
      <c r="AS13" s="301">
        <f t="shared" si="29"/>
        <v>0</v>
      </c>
      <c r="AT13" s="302">
        <f t="shared" si="30"/>
        <v>0</v>
      </c>
      <c r="AU13" s="302">
        <f t="shared" si="31"/>
        <v>0</v>
      </c>
      <c r="AV13" s="81">
        <f t="shared" si="32"/>
        <v>0</v>
      </c>
      <c r="AW13" s="82">
        <f t="shared" si="33"/>
        <v>0</v>
      </c>
      <c r="AX13" s="81">
        <f t="shared" si="34"/>
        <v>0</v>
      </c>
      <c r="AY13" s="83">
        <f t="shared" si="35"/>
        <v>0</v>
      </c>
      <c r="AZ13" s="83">
        <f t="shared" si="36"/>
        <v>0</v>
      </c>
      <c r="BA13" s="82">
        <f>IF(OR(B13=Feiertage!$A$16,B13=Feiertage!$A$19),U13*Zuschläge_24_31/100,IF(AZ13&gt;0,AZ13*Feiertag_mit/100,IF(AX13&gt;0,AX13*Zuschläge_Sa/100,IF(AY13&gt;0,AY13*Zuschlag_So/100,0))))</f>
        <v>0</v>
      </c>
      <c r="BB13" s="82">
        <f>IF(AND(B13&lt;&gt;0,G13=Voreinstellung_Übersicht!$D$41),IF(EG=1,W13*Über_klein/100,IF(EG=2,W13*Über_groß/100,"Fehler")),0)</f>
        <v>0</v>
      </c>
      <c r="BC13" s="299">
        <f t="shared" ca="1" si="41"/>
        <v>0</v>
      </c>
      <c r="BD13" s="219">
        <f t="shared" ca="1" si="37"/>
        <v>1</v>
      </c>
      <c r="BE13" s="303">
        <f ca="1">IF(B13="","",INDIRECT(ADDRESS(MATCH(B13,Soll_AZ,1)+MATCH("Arbeitszeit 1 ab",Voreinstellung_Übersicht!B:B,0)-1,4,,,"Voreinstellung_Übersicht"),TRUE))</f>
        <v>1.6666666666666665</v>
      </c>
      <c r="BF13" s="1">
        <f t="shared" si="42"/>
        <v>0</v>
      </c>
    </row>
    <row r="14" spans="1:58" s="1" customFormat="1" ht="15" x14ac:dyDescent="0.3">
      <c r="A14" s="218">
        <f t="shared" si="0"/>
        <v>19</v>
      </c>
      <c r="B14" s="47">
        <f t="shared" si="38"/>
        <v>42130</v>
      </c>
      <c r="C14" s="219">
        <f t="shared" si="1"/>
        <v>1</v>
      </c>
      <c r="D14" s="220" t="str">
        <f t="shared" si="2"/>
        <v/>
      </c>
      <c r="E14" s="298" t="str">
        <f t="shared" si="3"/>
        <v/>
      </c>
      <c r="F14" s="87">
        <f t="shared" si="4"/>
        <v>42130</v>
      </c>
      <c r="G14" s="147"/>
      <c r="H14" s="74"/>
      <c r="I14" s="75"/>
      <c r="J14" s="221">
        <f t="shared" si="5"/>
        <v>0</v>
      </c>
      <c r="K14" s="76"/>
      <c r="L14" s="221">
        <f t="shared" si="43"/>
        <v>0</v>
      </c>
      <c r="M14" s="74"/>
      <c r="N14" s="75"/>
      <c r="O14" s="221">
        <f t="shared" si="6"/>
        <v>0</v>
      </c>
      <c r="P14" s="76"/>
      <c r="Q14" s="221">
        <f t="shared" si="44"/>
        <v>0</v>
      </c>
      <c r="R14" s="221">
        <f t="shared" si="45"/>
        <v>0</v>
      </c>
      <c r="S14" s="221">
        <f t="shared" si="7"/>
        <v>0</v>
      </c>
      <c r="T14" s="79">
        <f t="shared" si="8"/>
        <v>0</v>
      </c>
      <c r="U14" s="79">
        <f t="shared" si="39"/>
        <v>0</v>
      </c>
      <c r="V14" s="80">
        <f t="shared" ca="1" si="9"/>
        <v>0.33333333329999998</v>
      </c>
      <c r="W14" s="249" t="str">
        <f t="shared" ca="1" si="10"/>
        <v/>
      </c>
      <c r="X14" s="293"/>
      <c r="Y14" s="221">
        <f t="shared" si="11"/>
        <v>0</v>
      </c>
      <c r="Z14" s="299">
        <f ca="1">IF(B14="","",INDIRECT(ADDRESS(MATCH(B14,Soll_AZ,1)+MATCH("Arbeitszeit 1 ab",Voreinstellung_Übersicht!B:B,0)-1,WEEKDAY(B14,2)+4,,,"Voreinstellung_Übersicht"),TRUE))</f>
        <v>0.33333333333333331</v>
      </c>
      <c r="AA14" s="300">
        <f t="shared" ca="1" si="40"/>
        <v>0</v>
      </c>
      <c r="AB14" s="219">
        <f t="shared" si="12"/>
        <v>0</v>
      </c>
      <c r="AC14" s="219">
        <f t="shared" si="13"/>
        <v>0</v>
      </c>
      <c r="AD14" s="219">
        <f t="shared" si="14"/>
        <v>0</v>
      </c>
      <c r="AE14" s="219">
        <f t="shared" si="15"/>
        <v>0</v>
      </c>
      <c r="AF14" s="219">
        <f t="shared" si="16"/>
        <v>0</v>
      </c>
      <c r="AG14" s="219">
        <f t="shared" si="17"/>
        <v>0</v>
      </c>
      <c r="AH14" s="219">
        <f t="shared" si="18"/>
        <v>0</v>
      </c>
      <c r="AI14" s="219">
        <f t="shared" si="19"/>
        <v>0</v>
      </c>
      <c r="AJ14" s="219">
        <f t="shared" si="20"/>
        <v>0</v>
      </c>
      <c r="AK14" s="219">
        <f t="shared" si="21"/>
        <v>0</v>
      </c>
      <c r="AL14" s="219">
        <f t="shared" si="22"/>
        <v>0</v>
      </c>
      <c r="AM14" s="219">
        <f t="shared" si="23"/>
        <v>0</v>
      </c>
      <c r="AN14" s="301">
        <f t="shared" si="24"/>
        <v>0</v>
      </c>
      <c r="AO14" s="301">
        <f t="shared" si="25"/>
        <v>0</v>
      </c>
      <c r="AP14" s="301">
        <f t="shared" si="26"/>
        <v>0</v>
      </c>
      <c r="AQ14" s="301">
        <f t="shared" si="27"/>
        <v>0</v>
      </c>
      <c r="AR14" s="301">
        <f t="shared" si="28"/>
        <v>0</v>
      </c>
      <c r="AS14" s="301">
        <f t="shared" si="29"/>
        <v>0</v>
      </c>
      <c r="AT14" s="302">
        <f t="shared" si="30"/>
        <v>0</v>
      </c>
      <c r="AU14" s="302">
        <f t="shared" si="31"/>
        <v>0</v>
      </c>
      <c r="AV14" s="81">
        <f t="shared" si="32"/>
        <v>0</v>
      </c>
      <c r="AW14" s="82">
        <f t="shared" si="33"/>
        <v>0</v>
      </c>
      <c r="AX14" s="81">
        <f t="shared" si="34"/>
        <v>0</v>
      </c>
      <c r="AY14" s="83">
        <f t="shared" si="35"/>
        <v>0</v>
      </c>
      <c r="AZ14" s="83">
        <f t="shared" si="36"/>
        <v>0</v>
      </c>
      <c r="BA14" s="82">
        <f>IF(OR(B14=Feiertage!$A$16,B14=Feiertage!$A$19),U14*Zuschläge_24_31/100,IF(AZ14&gt;0,AZ14*Feiertag_mit/100,IF(AX14&gt;0,AX14*Zuschläge_Sa/100,IF(AY14&gt;0,AY14*Zuschlag_So/100,0))))</f>
        <v>0</v>
      </c>
      <c r="BB14" s="82">
        <f>IF(AND(B14&lt;&gt;0,G14=Voreinstellung_Übersicht!$D$41),IF(EG=1,W14*Über_klein/100,IF(EG=2,W14*Über_groß/100,"Fehler")),0)</f>
        <v>0</v>
      </c>
      <c r="BC14" s="299">
        <f t="shared" ca="1" si="41"/>
        <v>0</v>
      </c>
      <c r="BD14" s="219">
        <f t="shared" ca="1" si="37"/>
        <v>1</v>
      </c>
      <c r="BE14" s="303">
        <f ca="1">IF(B14="","",INDIRECT(ADDRESS(MATCH(B14,Soll_AZ,1)+MATCH("Arbeitszeit 1 ab",Voreinstellung_Übersicht!B:B,0)-1,4,,,"Voreinstellung_Übersicht"),TRUE))</f>
        <v>1.6666666666666665</v>
      </c>
      <c r="BF14" s="1">
        <f t="shared" si="42"/>
        <v>0</v>
      </c>
    </row>
    <row r="15" spans="1:58" s="1" customFormat="1" ht="15" x14ac:dyDescent="0.3">
      <c r="A15" s="218">
        <f t="shared" si="0"/>
        <v>19</v>
      </c>
      <c r="B15" s="47">
        <f t="shared" si="38"/>
        <v>42131</v>
      </c>
      <c r="C15" s="219">
        <f t="shared" si="1"/>
        <v>1</v>
      </c>
      <c r="D15" s="220" t="str">
        <f t="shared" si="2"/>
        <v/>
      </c>
      <c r="E15" s="298" t="str">
        <f t="shared" si="3"/>
        <v/>
      </c>
      <c r="F15" s="87">
        <f t="shared" si="4"/>
        <v>42131</v>
      </c>
      <c r="G15" s="147"/>
      <c r="H15" s="74"/>
      <c r="I15" s="75"/>
      <c r="J15" s="221">
        <f t="shared" si="5"/>
        <v>0</v>
      </c>
      <c r="K15" s="76"/>
      <c r="L15" s="221">
        <f t="shared" si="43"/>
        <v>0</v>
      </c>
      <c r="M15" s="74"/>
      <c r="N15" s="75"/>
      <c r="O15" s="221">
        <f t="shared" si="6"/>
        <v>0</v>
      </c>
      <c r="P15" s="76"/>
      <c r="Q15" s="221">
        <f t="shared" si="44"/>
        <v>0</v>
      </c>
      <c r="R15" s="221">
        <f t="shared" si="45"/>
        <v>0</v>
      </c>
      <c r="S15" s="221">
        <f t="shared" si="7"/>
        <v>0</v>
      </c>
      <c r="T15" s="79">
        <f t="shared" si="8"/>
        <v>0</v>
      </c>
      <c r="U15" s="79">
        <f t="shared" si="39"/>
        <v>0</v>
      </c>
      <c r="V15" s="80">
        <f t="shared" ca="1" si="9"/>
        <v>0.33333333329999998</v>
      </c>
      <c r="W15" s="249" t="str">
        <f t="shared" ca="1" si="10"/>
        <v/>
      </c>
      <c r="X15" s="293"/>
      <c r="Y15" s="221">
        <f t="shared" si="11"/>
        <v>0</v>
      </c>
      <c r="Z15" s="299">
        <f ca="1">IF(B15="","",INDIRECT(ADDRESS(MATCH(B15,Soll_AZ,1)+MATCH("Arbeitszeit 1 ab",Voreinstellung_Übersicht!B:B,0)-1,WEEKDAY(B15,2)+4,,,"Voreinstellung_Übersicht"),TRUE))</f>
        <v>0.33333333333333331</v>
      </c>
      <c r="AA15" s="300">
        <f t="shared" ca="1" si="40"/>
        <v>0</v>
      </c>
      <c r="AB15" s="219">
        <f t="shared" si="12"/>
        <v>0</v>
      </c>
      <c r="AC15" s="219">
        <f t="shared" si="13"/>
        <v>0</v>
      </c>
      <c r="AD15" s="219">
        <f t="shared" si="14"/>
        <v>0</v>
      </c>
      <c r="AE15" s="219">
        <f t="shared" si="15"/>
        <v>0</v>
      </c>
      <c r="AF15" s="219">
        <f t="shared" si="16"/>
        <v>0</v>
      </c>
      <c r="AG15" s="219">
        <f t="shared" si="17"/>
        <v>0</v>
      </c>
      <c r="AH15" s="219">
        <f t="shared" si="18"/>
        <v>0</v>
      </c>
      <c r="AI15" s="219">
        <f t="shared" si="19"/>
        <v>0</v>
      </c>
      <c r="AJ15" s="219">
        <f t="shared" si="20"/>
        <v>0</v>
      </c>
      <c r="AK15" s="219">
        <f t="shared" si="21"/>
        <v>0</v>
      </c>
      <c r="AL15" s="219">
        <f t="shared" si="22"/>
        <v>0</v>
      </c>
      <c r="AM15" s="219">
        <f t="shared" si="23"/>
        <v>0</v>
      </c>
      <c r="AN15" s="301">
        <f t="shared" si="24"/>
        <v>0</v>
      </c>
      <c r="AO15" s="301">
        <f t="shared" si="25"/>
        <v>0</v>
      </c>
      <c r="AP15" s="301">
        <f t="shared" si="26"/>
        <v>0</v>
      </c>
      <c r="AQ15" s="301">
        <f t="shared" si="27"/>
        <v>0</v>
      </c>
      <c r="AR15" s="301">
        <f t="shared" si="28"/>
        <v>0</v>
      </c>
      <c r="AS15" s="301">
        <f t="shared" si="29"/>
        <v>0</v>
      </c>
      <c r="AT15" s="302">
        <f t="shared" si="30"/>
        <v>0</v>
      </c>
      <c r="AU15" s="302">
        <f t="shared" si="31"/>
        <v>0</v>
      </c>
      <c r="AV15" s="81">
        <f t="shared" si="32"/>
        <v>0</v>
      </c>
      <c r="AW15" s="82">
        <f t="shared" si="33"/>
        <v>0</v>
      </c>
      <c r="AX15" s="81">
        <f t="shared" si="34"/>
        <v>0</v>
      </c>
      <c r="AY15" s="83">
        <f t="shared" si="35"/>
        <v>0</v>
      </c>
      <c r="AZ15" s="83">
        <f t="shared" si="36"/>
        <v>0</v>
      </c>
      <c r="BA15" s="82">
        <f>IF(OR(B15=Feiertage!$A$16,B15=Feiertage!$A$19),U15*Zuschläge_24_31/100,IF(AZ15&gt;0,AZ15*Feiertag_mit/100,IF(AX15&gt;0,AX15*Zuschläge_Sa/100,IF(AY15&gt;0,AY15*Zuschlag_So/100,0))))</f>
        <v>0</v>
      </c>
      <c r="BB15" s="82">
        <f>IF(AND(B15&lt;&gt;0,G15=Voreinstellung_Übersicht!$D$41),IF(EG=1,W15*Über_klein/100,IF(EG=2,W15*Über_groß/100,"Fehler")),0)</f>
        <v>0</v>
      </c>
      <c r="BC15" s="299">
        <f t="shared" ca="1" si="41"/>
        <v>0</v>
      </c>
      <c r="BD15" s="219">
        <f t="shared" ca="1" si="37"/>
        <v>1</v>
      </c>
      <c r="BE15" s="303">
        <f ca="1">IF(B15="","",INDIRECT(ADDRESS(MATCH(B15,Soll_AZ,1)+MATCH("Arbeitszeit 1 ab",Voreinstellung_Übersicht!B:B,0)-1,4,,,"Voreinstellung_Übersicht"),TRUE))</f>
        <v>1.6666666666666665</v>
      </c>
      <c r="BF15" s="1">
        <f t="shared" si="42"/>
        <v>0</v>
      </c>
    </row>
    <row r="16" spans="1:58" s="1" customFormat="1" ht="15" x14ac:dyDescent="0.3">
      <c r="A16" s="218">
        <f t="shared" si="0"/>
        <v>19</v>
      </c>
      <c r="B16" s="47">
        <f t="shared" si="38"/>
        <v>42132</v>
      </c>
      <c r="C16" s="219">
        <f t="shared" si="1"/>
        <v>1</v>
      </c>
      <c r="D16" s="220" t="str">
        <f t="shared" si="2"/>
        <v/>
      </c>
      <c r="E16" s="298" t="str">
        <f t="shared" si="3"/>
        <v/>
      </c>
      <c r="F16" s="87">
        <f t="shared" si="4"/>
        <v>42132</v>
      </c>
      <c r="G16" s="147"/>
      <c r="H16" s="74"/>
      <c r="I16" s="75"/>
      <c r="J16" s="221">
        <f t="shared" si="5"/>
        <v>0</v>
      </c>
      <c r="K16" s="76"/>
      <c r="L16" s="221">
        <f t="shared" si="43"/>
        <v>0</v>
      </c>
      <c r="M16" s="74"/>
      <c r="N16" s="75"/>
      <c r="O16" s="221">
        <f t="shared" si="6"/>
        <v>0</v>
      </c>
      <c r="P16" s="76"/>
      <c r="Q16" s="221">
        <f t="shared" si="44"/>
        <v>0</v>
      </c>
      <c r="R16" s="221">
        <f t="shared" si="45"/>
        <v>0</v>
      </c>
      <c r="S16" s="221">
        <f t="shared" si="7"/>
        <v>0</v>
      </c>
      <c r="T16" s="79">
        <f t="shared" si="8"/>
        <v>0</v>
      </c>
      <c r="U16" s="79">
        <f t="shared" si="39"/>
        <v>0</v>
      </c>
      <c r="V16" s="80">
        <f t="shared" ca="1" si="9"/>
        <v>0.33333333329999998</v>
      </c>
      <c r="W16" s="249" t="str">
        <f t="shared" ca="1" si="10"/>
        <v/>
      </c>
      <c r="X16" s="293"/>
      <c r="Y16" s="221">
        <f t="shared" si="11"/>
        <v>0</v>
      </c>
      <c r="Z16" s="299">
        <f ca="1">IF(B16="","",INDIRECT(ADDRESS(MATCH(B16,Soll_AZ,1)+MATCH("Arbeitszeit 1 ab",Voreinstellung_Übersicht!B:B,0)-1,WEEKDAY(B16,2)+4,,,"Voreinstellung_Übersicht"),TRUE))</f>
        <v>0.33333333333333331</v>
      </c>
      <c r="AA16" s="300">
        <f t="shared" ca="1" si="40"/>
        <v>0</v>
      </c>
      <c r="AB16" s="219">
        <f t="shared" si="12"/>
        <v>0</v>
      </c>
      <c r="AC16" s="219">
        <f t="shared" si="13"/>
        <v>0</v>
      </c>
      <c r="AD16" s="219">
        <f t="shared" si="14"/>
        <v>0</v>
      </c>
      <c r="AE16" s="219">
        <f t="shared" si="15"/>
        <v>0</v>
      </c>
      <c r="AF16" s="219">
        <f t="shared" si="16"/>
        <v>0</v>
      </c>
      <c r="AG16" s="219">
        <f t="shared" si="17"/>
        <v>0</v>
      </c>
      <c r="AH16" s="219">
        <f t="shared" si="18"/>
        <v>0</v>
      </c>
      <c r="AI16" s="219">
        <f t="shared" si="19"/>
        <v>0</v>
      </c>
      <c r="AJ16" s="219">
        <f t="shared" si="20"/>
        <v>0</v>
      </c>
      <c r="AK16" s="219">
        <f t="shared" si="21"/>
        <v>0</v>
      </c>
      <c r="AL16" s="219">
        <f t="shared" si="22"/>
        <v>0</v>
      </c>
      <c r="AM16" s="219">
        <f t="shared" si="23"/>
        <v>0</v>
      </c>
      <c r="AN16" s="301">
        <f t="shared" si="24"/>
        <v>0</v>
      </c>
      <c r="AO16" s="301">
        <f t="shared" si="25"/>
        <v>0</v>
      </c>
      <c r="AP16" s="301">
        <f t="shared" si="26"/>
        <v>0</v>
      </c>
      <c r="AQ16" s="301">
        <f t="shared" si="27"/>
        <v>0</v>
      </c>
      <c r="AR16" s="301">
        <f t="shared" si="28"/>
        <v>0</v>
      </c>
      <c r="AS16" s="301">
        <f t="shared" si="29"/>
        <v>0</v>
      </c>
      <c r="AT16" s="302">
        <f t="shared" si="30"/>
        <v>0</v>
      </c>
      <c r="AU16" s="302">
        <f t="shared" si="31"/>
        <v>0</v>
      </c>
      <c r="AV16" s="81">
        <f t="shared" si="32"/>
        <v>0</v>
      </c>
      <c r="AW16" s="82">
        <f t="shared" si="33"/>
        <v>0</v>
      </c>
      <c r="AX16" s="81">
        <f t="shared" si="34"/>
        <v>0</v>
      </c>
      <c r="AY16" s="83">
        <f t="shared" si="35"/>
        <v>0</v>
      </c>
      <c r="AZ16" s="83">
        <f t="shared" si="36"/>
        <v>0</v>
      </c>
      <c r="BA16" s="82">
        <f>IF(OR(B16=Feiertage!$A$16,B16=Feiertage!$A$19),U16*Zuschläge_24_31/100,IF(AZ16&gt;0,AZ16*Feiertag_mit/100,IF(AX16&gt;0,AX16*Zuschläge_Sa/100,IF(AY16&gt;0,AY16*Zuschlag_So/100,0))))</f>
        <v>0</v>
      </c>
      <c r="BB16" s="82">
        <f>IF(AND(B16&lt;&gt;0,G16=Voreinstellung_Übersicht!$D$41),IF(EG=1,W16*Über_klein/100,IF(EG=2,W16*Über_groß/100,"Fehler")),0)</f>
        <v>0</v>
      </c>
      <c r="BC16" s="299">
        <f t="shared" ca="1" si="41"/>
        <v>0</v>
      </c>
      <c r="BD16" s="219">
        <f t="shared" ca="1" si="37"/>
        <v>1</v>
      </c>
      <c r="BE16" s="303">
        <f ca="1">IF(B16="","",INDIRECT(ADDRESS(MATCH(B16,Soll_AZ,1)+MATCH("Arbeitszeit 1 ab",Voreinstellung_Übersicht!B:B,0)-1,4,,,"Voreinstellung_Übersicht"),TRUE))</f>
        <v>1.6666666666666665</v>
      </c>
      <c r="BF16" s="1">
        <f t="shared" si="42"/>
        <v>0</v>
      </c>
    </row>
    <row r="17" spans="1:58" s="1" customFormat="1" ht="15" x14ac:dyDescent="0.3">
      <c r="A17" s="218">
        <f t="shared" si="0"/>
        <v>19</v>
      </c>
      <c r="B17" s="47">
        <f t="shared" si="38"/>
        <v>42133</v>
      </c>
      <c r="C17" s="219">
        <f t="shared" si="1"/>
        <v>1</v>
      </c>
      <c r="D17" s="220" t="str">
        <f t="shared" si="2"/>
        <v/>
      </c>
      <c r="E17" s="298" t="str">
        <f t="shared" si="3"/>
        <v/>
      </c>
      <c r="F17" s="87">
        <f t="shared" si="4"/>
        <v>42133</v>
      </c>
      <c r="G17" s="147"/>
      <c r="H17" s="74"/>
      <c r="I17" s="75"/>
      <c r="J17" s="221">
        <f t="shared" si="5"/>
        <v>0</v>
      </c>
      <c r="K17" s="76"/>
      <c r="L17" s="221">
        <f t="shared" si="43"/>
        <v>0</v>
      </c>
      <c r="M17" s="74"/>
      <c r="N17" s="75"/>
      <c r="O17" s="221">
        <f t="shared" si="6"/>
        <v>0</v>
      </c>
      <c r="P17" s="76"/>
      <c r="Q17" s="221">
        <f t="shared" si="44"/>
        <v>0</v>
      </c>
      <c r="R17" s="221">
        <f t="shared" si="45"/>
        <v>0</v>
      </c>
      <c r="S17" s="221">
        <f t="shared" si="7"/>
        <v>0</v>
      </c>
      <c r="T17" s="79">
        <f t="shared" si="8"/>
        <v>0</v>
      </c>
      <c r="U17" s="79">
        <f t="shared" si="39"/>
        <v>0</v>
      </c>
      <c r="V17" s="80">
        <f t="shared" ca="1" si="9"/>
        <v>0.33333333329999998</v>
      </c>
      <c r="W17" s="249" t="str">
        <f t="shared" ca="1" si="10"/>
        <v/>
      </c>
      <c r="X17" s="293"/>
      <c r="Y17" s="221">
        <f t="shared" si="11"/>
        <v>0</v>
      </c>
      <c r="Z17" s="299">
        <f ca="1">IF(B17="","",INDIRECT(ADDRESS(MATCH(B17,Soll_AZ,1)+MATCH("Arbeitszeit 1 ab",Voreinstellung_Übersicht!B:B,0)-1,WEEKDAY(B17,2)+4,,,"Voreinstellung_Übersicht"),TRUE))</f>
        <v>0.33333333333333331</v>
      </c>
      <c r="AA17" s="300">
        <f t="shared" ca="1" si="40"/>
        <v>0</v>
      </c>
      <c r="AB17" s="219">
        <f t="shared" si="12"/>
        <v>0</v>
      </c>
      <c r="AC17" s="219">
        <f t="shared" si="13"/>
        <v>0</v>
      </c>
      <c r="AD17" s="219">
        <f t="shared" si="14"/>
        <v>0</v>
      </c>
      <c r="AE17" s="219">
        <f t="shared" si="15"/>
        <v>0</v>
      </c>
      <c r="AF17" s="219">
        <f t="shared" si="16"/>
        <v>0</v>
      </c>
      <c r="AG17" s="219">
        <f t="shared" si="17"/>
        <v>0</v>
      </c>
      <c r="AH17" s="219">
        <f t="shared" si="18"/>
        <v>0</v>
      </c>
      <c r="AI17" s="219">
        <f t="shared" si="19"/>
        <v>0</v>
      </c>
      <c r="AJ17" s="219">
        <f t="shared" si="20"/>
        <v>0</v>
      </c>
      <c r="AK17" s="219">
        <f t="shared" si="21"/>
        <v>0</v>
      </c>
      <c r="AL17" s="219">
        <f t="shared" si="22"/>
        <v>0</v>
      </c>
      <c r="AM17" s="219">
        <f t="shared" si="23"/>
        <v>0</v>
      </c>
      <c r="AN17" s="301">
        <f t="shared" si="24"/>
        <v>0</v>
      </c>
      <c r="AO17" s="301">
        <f t="shared" si="25"/>
        <v>0</v>
      </c>
      <c r="AP17" s="301">
        <f t="shared" si="26"/>
        <v>0</v>
      </c>
      <c r="AQ17" s="301">
        <f t="shared" si="27"/>
        <v>0</v>
      </c>
      <c r="AR17" s="301">
        <f t="shared" si="28"/>
        <v>0</v>
      </c>
      <c r="AS17" s="301">
        <f t="shared" si="29"/>
        <v>0</v>
      </c>
      <c r="AT17" s="302">
        <f t="shared" si="30"/>
        <v>0</v>
      </c>
      <c r="AU17" s="302">
        <f t="shared" si="31"/>
        <v>0</v>
      </c>
      <c r="AV17" s="81">
        <f t="shared" si="32"/>
        <v>0</v>
      </c>
      <c r="AW17" s="82">
        <f t="shared" si="33"/>
        <v>0</v>
      </c>
      <c r="AX17" s="81">
        <f t="shared" si="34"/>
        <v>0</v>
      </c>
      <c r="AY17" s="83">
        <f t="shared" si="35"/>
        <v>0</v>
      </c>
      <c r="AZ17" s="83">
        <f t="shared" si="36"/>
        <v>0</v>
      </c>
      <c r="BA17" s="82">
        <f>IF(OR(B17=Feiertage!$A$16,B17=Feiertage!$A$19),U17*Zuschläge_24_31/100,IF(AZ17&gt;0,AZ17*Feiertag_mit/100,IF(AX17&gt;0,AX17*Zuschläge_Sa/100,IF(AY17&gt;0,AY17*Zuschlag_So/100,0))))</f>
        <v>0</v>
      </c>
      <c r="BB17" s="82">
        <f>IF(AND(B17&lt;&gt;0,G17=Voreinstellung_Übersicht!$D$41),IF(EG=1,W17*Über_klein/100,IF(EG=2,W17*Über_groß/100,"Fehler")),0)</f>
        <v>0</v>
      </c>
      <c r="BC17" s="299">
        <f t="shared" ca="1" si="41"/>
        <v>0</v>
      </c>
      <c r="BD17" s="219">
        <f t="shared" ca="1" si="37"/>
        <v>1</v>
      </c>
      <c r="BE17" s="303">
        <f ca="1">IF(B17="","",INDIRECT(ADDRESS(MATCH(B17,Soll_AZ,1)+MATCH("Arbeitszeit 1 ab",Voreinstellung_Übersicht!B:B,0)-1,4,,,"Voreinstellung_Übersicht"),TRUE))</f>
        <v>1.6666666666666665</v>
      </c>
      <c r="BF17" s="1">
        <f t="shared" si="42"/>
        <v>0</v>
      </c>
    </row>
    <row r="18" spans="1:58" s="1" customFormat="1" ht="15" x14ac:dyDescent="0.3">
      <c r="A18" s="218">
        <f t="shared" si="0"/>
        <v>19</v>
      </c>
      <c r="B18" s="47">
        <f t="shared" si="38"/>
        <v>42134</v>
      </c>
      <c r="C18" s="219">
        <f t="shared" si="1"/>
        <v>0</v>
      </c>
      <c r="D18" s="220" t="str">
        <f t="shared" si="2"/>
        <v/>
      </c>
      <c r="E18" s="298" t="str">
        <f t="shared" si="3"/>
        <v/>
      </c>
      <c r="F18" s="87">
        <f t="shared" si="4"/>
        <v>42134</v>
      </c>
      <c r="G18" s="147"/>
      <c r="H18" s="74"/>
      <c r="I18" s="75"/>
      <c r="J18" s="221">
        <f t="shared" si="5"/>
        <v>0</v>
      </c>
      <c r="K18" s="76"/>
      <c r="L18" s="221">
        <f t="shared" si="43"/>
        <v>0</v>
      </c>
      <c r="M18" s="74"/>
      <c r="N18" s="75"/>
      <c r="O18" s="221">
        <f t="shared" si="6"/>
        <v>0</v>
      </c>
      <c r="P18" s="76"/>
      <c r="Q18" s="221">
        <f t="shared" si="44"/>
        <v>0</v>
      </c>
      <c r="R18" s="221">
        <f t="shared" si="45"/>
        <v>0</v>
      </c>
      <c r="S18" s="221">
        <f t="shared" si="7"/>
        <v>0</v>
      </c>
      <c r="T18" s="79">
        <f t="shared" si="8"/>
        <v>0</v>
      </c>
      <c r="U18" s="79">
        <f t="shared" si="39"/>
        <v>0</v>
      </c>
      <c r="V18" s="80">
        <f t="shared" ca="1" si="9"/>
        <v>0</v>
      </c>
      <c r="W18" s="249" t="str">
        <f t="shared" ca="1" si="10"/>
        <v/>
      </c>
      <c r="X18" s="293"/>
      <c r="Y18" s="221">
        <f t="shared" si="11"/>
        <v>0</v>
      </c>
      <c r="Z18" s="299">
        <f ca="1">IF(B18="","",INDIRECT(ADDRESS(MATCH(B18,Soll_AZ,1)+MATCH("Arbeitszeit 1 ab",Voreinstellung_Übersicht!B:B,0)-1,WEEKDAY(B18,2)+4,,,"Voreinstellung_Übersicht"),TRUE))</f>
        <v>0</v>
      </c>
      <c r="AA18" s="300">
        <f t="shared" ca="1" si="40"/>
        <v>0</v>
      </c>
      <c r="AB18" s="219">
        <f t="shared" si="12"/>
        <v>0</v>
      </c>
      <c r="AC18" s="219">
        <f t="shared" si="13"/>
        <v>0</v>
      </c>
      <c r="AD18" s="219">
        <f t="shared" si="14"/>
        <v>0</v>
      </c>
      <c r="AE18" s="219">
        <f t="shared" si="15"/>
        <v>0</v>
      </c>
      <c r="AF18" s="219">
        <f t="shared" si="16"/>
        <v>0</v>
      </c>
      <c r="AG18" s="219">
        <f t="shared" si="17"/>
        <v>0</v>
      </c>
      <c r="AH18" s="219">
        <f t="shared" si="18"/>
        <v>0</v>
      </c>
      <c r="AI18" s="219">
        <f t="shared" si="19"/>
        <v>0</v>
      </c>
      <c r="AJ18" s="219">
        <f t="shared" si="20"/>
        <v>0</v>
      </c>
      <c r="AK18" s="219">
        <f t="shared" si="21"/>
        <v>0</v>
      </c>
      <c r="AL18" s="219">
        <f t="shared" si="22"/>
        <v>0</v>
      </c>
      <c r="AM18" s="219">
        <f t="shared" si="23"/>
        <v>0</v>
      </c>
      <c r="AN18" s="301">
        <f t="shared" si="24"/>
        <v>0</v>
      </c>
      <c r="AO18" s="301">
        <f t="shared" si="25"/>
        <v>0</v>
      </c>
      <c r="AP18" s="301">
        <f t="shared" si="26"/>
        <v>0</v>
      </c>
      <c r="AQ18" s="301">
        <f t="shared" si="27"/>
        <v>0</v>
      </c>
      <c r="AR18" s="301">
        <f t="shared" si="28"/>
        <v>0</v>
      </c>
      <c r="AS18" s="301">
        <f t="shared" si="29"/>
        <v>0</v>
      </c>
      <c r="AT18" s="302">
        <f t="shared" si="30"/>
        <v>0</v>
      </c>
      <c r="AU18" s="302">
        <f t="shared" si="31"/>
        <v>0</v>
      </c>
      <c r="AV18" s="81">
        <f t="shared" si="32"/>
        <v>0</v>
      </c>
      <c r="AW18" s="82">
        <f t="shared" si="33"/>
        <v>0</v>
      </c>
      <c r="AX18" s="81">
        <f t="shared" si="34"/>
        <v>0</v>
      </c>
      <c r="AY18" s="83">
        <f t="shared" si="35"/>
        <v>0</v>
      </c>
      <c r="AZ18" s="83">
        <f t="shared" si="36"/>
        <v>0</v>
      </c>
      <c r="BA18" s="82">
        <f>IF(OR(B18=Feiertage!$A$16,B18=Feiertage!$A$19),U18*Zuschläge_24_31/100,IF(AZ18&gt;0,AZ18*Feiertag_mit/100,IF(AX18&gt;0,AX18*Zuschläge_Sa/100,IF(AY18&gt;0,AY18*Zuschlag_So/100,0))))</f>
        <v>0</v>
      </c>
      <c r="BB18" s="82">
        <f>IF(AND(B18&lt;&gt;0,G18=Voreinstellung_Übersicht!$D$41),IF(EG=1,W18*Über_klein/100,IF(EG=2,W18*Über_groß/100,"Fehler")),0)</f>
        <v>0</v>
      </c>
      <c r="BC18" s="299">
        <f t="shared" ca="1" si="41"/>
        <v>0</v>
      </c>
      <c r="BD18" s="219">
        <f t="shared" ca="1" si="37"/>
        <v>1</v>
      </c>
      <c r="BE18" s="303">
        <f ca="1">IF(B18="","",INDIRECT(ADDRESS(MATCH(B18,Soll_AZ,1)+MATCH("Arbeitszeit 1 ab",Voreinstellung_Übersicht!B:B,0)-1,4,,,"Voreinstellung_Übersicht"),TRUE))</f>
        <v>1.6666666666666665</v>
      </c>
      <c r="BF18" s="1">
        <f t="shared" si="42"/>
        <v>0</v>
      </c>
    </row>
    <row r="19" spans="1:58" s="1" customFormat="1" ht="15" x14ac:dyDescent="0.3">
      <c r="A19" s="218">
        <f t="shared" si="0"/>
        <v>20</v>
      </c>
      <c r="B19" s="47">
        <f t="shared" si="38"/>
        <v>42135</v>
      </c>
      <c r="C19" s="219">
        <f t="shared" si="1"/>
        <v>0</v>
      </c>
      <c r="D19" s="220" t="str">
        <f t="shared" si="2"/>
        <v/>
      </c>
      <c r="E19" s="298" t="str">
        <f t="shared" si="3"/>
        <v/>
      </c>
      <c r="F19" s="87">
        <f t="shared" si="4"/>
        <v>42135</v>
      </c>
      <c r="G19" s="147"/>
      <c r="H19" s="74"/>
      <c r="I19" s="75"/>
      <c r="J19" s="221">
        <f t="shared" si="5"/>
        <v>0</v>
      </c>
      <c r="K19" s="76"/>
      <c r="L19" s="221">
        <f t="shared" si="43"/>
        <v>0</v>
      </c>
      <c r="M19" s="74"/>
      <c r="N19" s="75"/>
      <c r="O19" s="221">
        <f t="shared" si="6"/>
        <v>0</v>
      </c>
      <c r="P19" s="76"/>
      <c r="Q19" s="221">
        <f t="shared" si="44"/>
        <v>0</v>
      </c>
      <c r="R19" s="221">
        <f t="shared" si="45"/>
        <v>0</v>
      </c>
      <c r="S19" s="221">
        <f t="shared" si="7"/>
        <v>0</v>
      </c>
      <c r="T19" s="79">
        <f t="shared" si="8"/>
        <v>0</v>
      </c>
      <c r="U19" s="79">
        <f t="shared" si="39"/>
        <v>0</v>
      </c>
      <c r="V19" s="80">
        <f t="shared" ca="1" si="9"/>
        <v>0</v>
      </c>
      <c r="W19" s="249" t="str">
        <f t="shared" ca="1" si="10"/>
        <v/>
      </c>
      <c r="X19" s="293"/>
      <c r="Y19" s="221">
        <f t="shared" si="11"/>
        <v>0</v>
      </c>
      <c r="Z19" s="299">
        <f ca="1">IF(B19="","",INDIRECT(ADDRESS(MATCH(B19,Soll_AZ,1)+MATCH("Arbeitszeit 1 ab",Voreinstellung_Übersicht!B:B,0)-1,WEEKDAY(B19,2)+4,,,"Voreinstellung_Übersicht"),TRUE))</f>
        <v>0</v>
      </c>
      <c r="AA19" s="300">
        <f t="shared" ca="1" si="40"/>
        <v>0</v>
      </c>
      <c r="AB19" s="219">
        <f t="shared" si="12"/>
        <v>0</v>
      </c>
      <c r="AC19" s="219">
        <f t="shared" si="13"/>
        <v>0</v>
      </c>
      <c r="AD19" s="219">
        <f t="shared" si="14"/>
        <v>0</v>
      </c>
      <c r="AE19" s="219">
        <f t="shared" si="15"/>
        <v>0</v>
      </c>
      <c r="AF19" s="219">
        <f t="shared" si="16"/>
        <v>0</v>
      </c>
      <c r="AG19" s="219">
        <f t="shared" si="17"/>
        <v>0</v>
      </c>
      <c r="AH19" s="219">
        <f t="shared" si="18"/>
        <v>0</v>
      </c>
      <c r="AI19" s="219">
        <f t="shared" si="19"/>
        <v>0</v>
      </c>
      <c r="AJ19" s="219">
        <f t="shared" si="20"/>
        <v>0</v>
      </c>
      <c r="AK19" s="219">
        <f t="shared" si="21"/>
        <v>0</v>
      </c>
      <c r="AL19" s="219">
        <f t="shared" si="22"/>
        <v>0</v>
      </c>
      <c r="AM19" s="219">
        <f t="shared" si="23"/>
        <v>0</v>
      </c>
      <c r="AN19" s="301">
        <f t="shared" si="24"/>
        <v>0</v>
      </c>
      <c r="AO19" s="301">
        <f t="shared" si="25"/>
        <v>0</v>
      </c>
      <c r="AP19" s="301">
        <f t="shared" si="26"/>
        <v>0</v>
      </c>
      <c r="AQ19" s="301">
        <f t="shared" si="27"/>
        <v>0</v>
      </c>
      <c r="AR19" s="301">
        <f t="shared" si="28"/>
        <v>0</v>
      </c>
      <c r="AS19" s="301">
        <f t="shared" si="29"/>
        <v>0</v>
      </c>
      <c r="AT19" s="302">
        <f t="shared" si="30"/>
        <v>0</v>
      </c>
      <c r="AU19" s="302">
        <f t="shared" si="31"/>
        <v>0</v>
      </c>
      <c r="AV19" s="81">
        <f t="shared" si="32"/>
        <v>0</v>
      </c>
      <c r="AW19" s="82">
        <f t="shared" si="33"/>
        <v>0</v>
      </c>
      <c r="AX19" s="81">
        <f t="shared" si="34"/>
        <v>0</v>
      </c>
      <c r="AY19" s="83">
        <f t="shared" si="35"/>
        <v>0</v>
      </c>
      <c r="AZ19" s="83">
        <f t="shared" si="36"/>
        <v>0</v>
      </c>
      <c r="BA19" s="82">
        <f>IF(OR(B19=Feiertage!$A$16,B19=Feiertage!$A$19),U19*Zuschläge_24_31/100,IF(AZ19&gt;0,AZ19*Feiertag_mit/100,IF(AX19&gt;0,AX19*Zuschläge_Sa/100,IF(AY19&gt;0,AY19*Zuschlag_So/100,0))))</f>
        <v>0</v>
      </c>
      <c r="BB19" s="82">
        <f>IF(AND(B19&lt;&gt;0,G19=Voreinstellung_Übersicht!$D$41),IF(EG=1,W19*Über_klein/100,IF(EG=2,W19*Über_groß/100,"Fehler")),0)</f>
        <v>0</v>
      </c>
      <c r="BC19" s="299">
        <f t="shared" ca="1" si="41"/>
        <v>0</v>
      </c>
      <c r="BD19" s="219">
        <f t="shared" ca="1" si="37"/>
        <v>1</v>
      </c>
      <c r="BE19" s="303">
        <f ca="1">IF(B19="","",INDIRECT(ADDRESS(MATCH(B19,Soll_AZ,1)+MATCH("Arbeitszeit 1 ab",Voreinstellung_Übersicht!B:B,0)-1,4,,,"Voreinstellung_Übersicht"),TRUE))</f>
        <v>1.6666666666666665</v>
      </c>
      <c r="BF19" s="1">
        <f t="shared" si="42"/>
        <v>0</v>
      </c>
    </row>
    <row r="20" spans="1:58" s="1" customFormat="1" ht="15" x14ac:dyDescent="0.3">
      <c r="A20" s="218">
        <f t="shared" si="0"/>
        <v>20</v>
      </c>
      <c r="B20" s="47">
        <f t="shared" si="38"/>
        <v>42136</v>
      </c>
      <c r="C20" s="219">
        <f t="shared" si="1"/>
        <v>1</v>
      </c>
      <c r="D20" s="220" t="str">
        <f t="shared" si="2"/>
        <v/>
      </c>
      <c r="E20" s="298" t="str">
        <f t="shared" si="3"/>
        <v/>
      </c>
      <c r="F20" s="87">
        <f t="shared" si="4"/>
        <v>42136</v>
      </c>
      <c r="G20" s="147"/>
      <c r="H20" s="74"/>
      <c r="I20" s="75"/>
      <c r="J20" s="221">
        <f t="shared" si="5"/>
        <v>0</v>
      </c>
      <c r="K20" s="76"/>
      <c r="L20" s="221">
        <f t="shared" si="43"/>
        <v>0</v>
      </c>
      <c r="M20" s="74"/>
      <c r="N20" s="75"/>
      <c r="O20" s="221">
        <f t="shared" si="6"/>
        <v>0</v>
      </c>
      <c r="P20" s="76"/>
      <c r="Q20" s="221">
        <f t="shared" si="44"/>
        <v>0</v>
      </c>
      <c r="R20" s="221">
        <f t="shared" si="45"/>
        <v>0</v>
      </c>
      <c r="S20" s="221">
        <f t="shared" si="7"/>
        <v>0</v>
      </c>
      <c r="T20" s="79">
        <f t="shared" si="8"/>
        <v>0</v>
      </c>
      <c r="U20" s="79">
        <f t="shared" si="39"/>
        <v>0</v>
      </c>
      <c r="V20" s="80">
        <f t="shared" ca="1" si="9"/>
        <v>0.33333333329999998</v>
      </c>
      <c r="W20" s="249" t="str">
        <f t="shared" ca="1" si="10"/>
        <v/>
      </c>
      <c r="X20" s="293"/>
      <c r="Y20" s="221">
        <f t="shared" si="11"/>
        <v>0</v>
      </c>
      <c r="Z20" s="299">
        <f ca="1">IF(B20="","",INDIRECT(ADDRESS(MATCH(B20,Soll_AZ,1)+MATCH("Arbeitszeit 1 ab",Voreinstellung_Übersicht!B:B,0)-1,WEEKDAY(B20,2)+4,,,"Voreinstellung_Übersicht"),TRUE))</f>
        <v>0.33333333333333331</v>
      </c>
      <c r="AA20" s="300">
        <f t="shared" ca="1" si="40"/>
        <v>0</v>
      </c>
      <c r="AB20" s="219">
        <f t="shared" si="12"/>
        <v>0</v>
      </c>
      <c r="AC20" s="219">
        <f t="shared" si="13"/>
        <v>0</v>
      </c>
      <c r="AD20" s="219">
        <f t="shared" si="14"/>
        <v>0</v>
      </c>
      <c r="AE20" s="219">
        <f t="shared" si="15"/>
        <v>0</v>
      </c>
      <c r="AF20" s="219">
        <f t="shared" si="16"/>
        <v>0</v>
      </c>
      <c r="AG20" s="219">
        <f t="shared" si="17"/>
        <v>0</v>
      </c>
      <c r="AH20" s="219">
        <f t="shared" si="18"/>
        <v>0</v>
      </c>
      <c r="AI20" s="219">
        <f t="shared" si="19"/>
        <v>0</v>
      </c>
      <c r="AJ20" s="219">
        <f t="shared" si="20"/>
        <v>0</v>
      </c>
      <c r="AK20" s="219">
        <f t="shared" si="21"/>
        <v>0</v>
      </c>
      <c r="AL20" s="219">
        <f t="shared" si="22"/>
        <v>0</v>
      </c>
      <c r="AM20" s="219">
        <f t="shared" si="23"/>
        <v>0</v>
      </c>
      <c r="AN20" s="301">
        <f t="shared" si="24"/>
        <v>0</v>
      </c>
      <c r="AO20" s="301">
        <f t="shared" si="25"/>
        <v>0</v>
      </c>
      <c r="AP20" s="301">
        <f t="shared" si="26"/>
        <v>0</v>
      </c>
      <c r="AQ20" s="301">
        <f t="shared" si="27"/>
        <v>0</v>
      </c>
      <c r="AR20" s="301">
        <f t="shared" si="28"/>
        <v>0</v>
      </c>
      <c r="AS20" s="301">
        <f t="shared" si="29"/>
        <v>0</v>
      </c>
      <c r="AT20" s="302">
        <f t="shared" si="30"/>
        <v>0</v>
      </c>
      <c r="AU20" s="302">
        <f t="shared" si="31"/>
        <v>0</v>
      </c>
      <c r="AV20" s="81">
        <f t="shared" si="32"/>
        <v>0</v>
      </c>
      <c r="AW20" s="82">
        <f t="shared" si="33"/>
        <v>0</v>
      </c>
      <c r="AX20" s="81">
        <f t="shared" si="34"/>
        <v>0</v>
      </c>
      <c r="AY20" s="83">
        <f t="shared" si="35"/>
        <v>0</v>
      </c>
      <c r="AZ20" s="83">
        <f t="shared" si="36"/>
        <v>0</v>
      </c>
      <c r="BA20" s="82">
        <f>IF(OR(B20=Feiertage!$A$16,B20=Feiertage!$A$19),U20*Zuschläge_24_31/100,IF(AZ20&gt;0,AZ20*Feiertag_mit/100,IF(AX20&gt;0,AX20*Zuschläge_Sa/100,IF(AY20&gt;0,AY20*Zuschlag_So/100,0))))</f>
        <v>0</v>
      </c>
      <c r="BB20" s="82">
        <f>IF(AND(B20&lt;&gt;0,G20=Voreinstellung_Übersicht!$D$41),IF(EG=1,W20*Über_klein/100,IF(EG=2,W20*Über_groß/100,"Fehler")),0)</f>
        <v>0</v>
      </c>
      <c r="BC20" s="299">
        <f t="shared" ca="1" si="41"/>
        <v>0</v>
      </c>
      <c r="BD20" s="219">
        <f t="shared" ca="1" si="37"/>
        <v>1</v>
      </c>
      <c r="BE20" s="303">
        <f ca="1">IF(B20="","",INDIRECT(ADDRESS(MATCH(B20,Soll_AZ,1)+MATCH("Arbeitszeit 1 ab",Voreinstellung_Übersicht!B:B,0)-1,4,,,"Voreinstellung_Übersicht"),TRUE))</f>
        <v>1.6666666666666665</v>
      </c>
      <c r="BF20" s="1">
        <f t="shared" si="42"/>
        <v>0</v>
      </c>
    </row>
    <row r="21" spans="1:58" s="1" customFormat="1" ht="15" x14ac:dyDescent="0.3">
      <c r="A21" s="218">
        <f t="shared" si="0"/>
        <v>20</v>
      </c>
      <c r="B21" s="47">
        <f t="shared" si="38"/>
        <v>42137</v>
      </c>
      <c r="C21" s="219">
        <f t="shared" si="1"/>
        <v>1</v>
      </c>
      <c r="D21" s="220" t="str">
        <f t="shared" si="2"/>
        <v/>
      </c>
      <c r="E21" s="298" t="str">
        <f t="shared" si="3"/>
        <v/>
      </c>
      <c r="F21" s="87">
        <f t="shared" si="4"/>
        <v>42137</v>
      </c>
      <c r="G21" s="147"/>
      <c r="H21" s="74"/>
      <c r="I21" s="75"/>
      <c r="J21" s="221">
        <f t="shared" si="5"/>
        <v>0</v>
      </c>
      <c r="K21" s="76"/>
      <c r="L21" s="221">
        <f t="shared" si="43"/>
        <v>0</v>
      </c>
      <c r="M21" s="74"/>
      <c r="N21" s="75"/>
      <c r="O21" s="221">
        <f t="shared" si="6"/>
        <v>0</v>
      </c>
      <c r="P21" s="76"/>
      <c r="Q21" s="221">
        <f t="shared" si="44"/>
        <v>0</v>
      </c>
      <c r="R21" s="221">
        <f t="shared" si="45"/>
        <v>0</v>
      </c>
      <c r="S21" s="221">
        <f t="shared" si="7"/>
        <v>0</v>
      </c>
      <c r="T21" s="79">
        <f t="shared" si="8"/>
        <v>0</v>
      </c>
      <c r="U21" s="79">
        <f t="shared" si="39"/>
        <v>0</v>
      </c>
      <c r="V21" s="80">
        <f t="shared" ca="1" si="9"/>
        <v>0.33333333329999998</v>
      </c>
      <c r="W21" s="249" t="str">
        <f t="shared" ca="1" si="10"/>
        <v/>
      </c>
      <c r="X21" s="293"/>
      <c r="Y21" s="221">
        <f t="shared" si="11"/>
        <v>0</v>
      </c>
      <c r="Z21" s="299">
        <f ca="1">IF(B21="","",INDIRECT(ADDRESS(MATCH(B21,Soll_AZ,1)+MATCH("Arbeitszeit 1 ab",Voreinstellung_Übersicht!B:B,0)-1,WEEKDAY(B21,2)+4,,,"Voreinstellung_Übersicht"),TRUE))</f>
        <v>0.33333333333333331</v>
      </c>
      <c r="AA21" s="300">
        <f t="shared" ca="1" si="40"/>
        <v>0</v>
      </c>
      <c r="AB21" s="219">
        <f t="shared" si="12"/>
        <v>0</v>
      </c>
      <c r="AC21" s="219">
        <f t="shared" si="13"/>
        <v>0</v>
      </c>
      <c r="AD21" s="219">
        <f t="shared" si="14"/>
        <v>0</v>
      </c>
      <c r="AE21" s="219">
        <f t="shared" si="15"/>
        <v>0</v>
      </c>
      <c r="AF21" s="219">
        <f t="shared" si="16"/>
        <v>0</v>
      </c>
      <c r="AG21" s="219">
        <f t="shared" si="17"/>
        <v>0</v>
      </c>
      <c r="AH21" s="219">
        <f t="shared" si="18"/>
        <v>0</v>
      </c>
      <c r="AI21" s="219">
        <f t="shared" si="19"/>
        <v>0</v>
      </c>
      <c r="AJ21" s="219">
        <f t="shared" si="20"/>
        <v>0</v>
      </c>
      <c r="AK21" s="219">
        <f t="shared" si="21"/>
        <v>0</v>
      </c>
      <c r="AL21" s="219">
        <f t="shared" si="22"/>
        <v>0</v>
      </c>
      <c r="AM21" s="219">
        <f t="shared" si="23"/>
        <v>0</v>
      </c>
      <c r="AN21" s="301">
        <f t="shared" si="24"/>
        <v>0</v>
      </c>
      <c r="AO21" s="301">
        <f t="shared" si="25"/>
        <v>0</v>
      </c>
      <c r="AP21" s="301">
        <f t="shared" si="26"/>
        <v>0</v>
      </c>
      <c r="AQ21" s="301">
        <f t="shared" si="27"/>
        <v>0</v>
      </c>
      <c r="AR21" s="301">
        <f t="shared" si="28"/>
        <v>0</v>
      </c>
      <c r="AS21" s="301">
        <f t="shared" si="29"/>
        <v>0</v>
      </c>
      <c r="AT21" s="302">
        <f t="shared" si="30"/>
        <v>0</v>
      </c>
      <c r="AU21" s="302">
        <f t="shared" si="31"/>
        <v>0</v>
      </c>
      <c r="AV21" s="81">
        <f t="shared" si="32"/>
        <v>0</v>
      </c>
      <c r="AW21" s="82">
        <f t="shared" si="33"/>
        <v>0</v>
      </c>
      <c r="AX21" s="81">
        <f t="shared" si="34"/>
        <v>0</v>
      </c>
      <c r="AY21" s="83">
        <f t="shared" si="35"/>
        <v>0</v>
      </c>
      <c r="AZ21" s="83">
        <f t="shared" si="36"/>
        <v>0</v>
      </c>
      <c r="BA21" s="82">
        <f>IF(OR(B21=Feiertage!$A$16,B21=Feiertage!$A$19),U21*Zuschläge_24_31/100,IF(AZ21&gt;0,AZ21*Feiertag_mit/100,IF(AX21&gt;0,AX21*Zuschläge_Sa/100,IF(AY21&gt;0,AY21*Zuschlag_So/100,0))))</f>
        <v>0</v>
      </c>
      <c r="BB21" s="82">
        <f>IF(AND(B21&lt;&gt;0,G21=Voreinstellung_Übersicht!$D$41),IF(EG=1,W21*Über_klein/100,IF(EG=2,W21*Über_groß/100,"Fehler")),0)</f>
        <v>0</v>
      </c>
      <c r="BC21" s="299">
        <f t="shared" ca="1" si="41"/>
        <v>0</v>
      </c>
      <c r="BD21" s="219">
        <f t="shared" ca="1" si="37"/>
        <v>1</v>
      </c>
      <c r="BE21" s="303">
        <f ca="1">IF(B21="","",INDIRECT(ADDRESS(MATCH(B21,Soll_AZ,1)+MATCH("Arbeitszeit 1 ab",Voreinstellung_Übersicht!B:B,0)-1,4,,,"Voreinstellung_Übersicht"),TRUE))</f>
        <v>1.6666666666666665</v>
      </c>
      <c r="BF21" s="1">
        <f t="shared" si="42"/>
        <v>0</v>
      </c>
    </row>
    <row r="22" spans="1:58" s="1" customFormat="1" ht="15" x14ac:dyDescent="0.3">
      <c r="A22" s="218">
        <f t="shared" si="0"/>
        <v>20</v>
      </c>
      <c r="B22" s="47">
        <f t="shared" si="38"/>
        <v>42138</v>
      </c>
      <c r="C22" s="219">
        <f t="shared" si="1"/>
        <v>1</v>
      </c>
      <c r="D22" s="220" t="str">
        <f t="shared" si="2"/>
        <v/>
      </c>
      <c r="E22" s="298" t="str">
        <f t="shared" si="3"/>
        <v/>
      </c>
      <c r="F22" s="87">
        <f t="shared" si="4"/>
        <v>42138</v>
      </c>
      <c r="G22" s="147"/>
      <c r="H22" s="74"/>
      <c r="I22" s="75"/>
      <c r="J22" s="221">
        <f t="shared" si="5"/>
        <v>0</v>
      </c>
      <c r="K22" s="76"/>
      <c r="L22" s="221">
        <f t="shared" si="43"/>
        <v>0</v>
      </c>
      <c r="M22" s="74"/>
      <c r="N22" s="75"/>
      <c r="O22" s="221">
        <f t="shared" si="6"/>
        <v>0</v>
      </c>
      <c r="P22" s="76"/>
      <c r="Q22" s="221">
        <f t="shared" si="44"/>
        <v>0</v>
      </c>
      <c r="R22" s="221">
        <f t="shared" si="45"/>
        <v>0</v>
      </c>
      <c r="S22" s="221">
        <f t="shared" si="7"/>
        <v>0</v>
      </c>
      <c r="T22" s="79">
        <f t="shared" si="8"/>
        <v>0</v>
      </c>
      <c r="U22" s="79">
        <f t="shared" si="39"/>
        <v>0</v>
      </c>
      <c r="V22" s="80">
        <f t="shared" ca="1" si="9"/>
        <v>0.33333333329999998</v>
      </c>
      <c r="W22" s="249" t="str">
        <f t="shared" ca="1" si="10"/>
        <v/>
      </c>
      <c r="X22" s="293"/>
      <c r="Y22" s="221">
        <f t="shared" si="11"/>
        <v>0</v>
      </c>
      <c r="Z22" s="299">
        <f ca="1">IF(B22="","",INDIRECT(ADDRESS(MATCH(B22,Soll_AZ,1)+MATCH("Arbeitszeit 1 ab",Voreinstellung_Übersicht!B:B,0)-1,WEEKDAY(B22,2)+4,,,"Voreinstellung_Übersicht"),TRUE))</f>
        <v>0.33333333333333331</v>
      </c>
      <c r="AA22" s="300">
        <f t="shared" ca="1" si="40"/>
        <v>0</v>
      </c>
      <c r="AB22" s="219">
        <f t="shared" si="12"/>
        <v>0</v>
      </c>
      <c r="AC22" s="219">
        <f t="shared" si="13"/>
        <v>0</v>
      </c>
      <c r="AD22" s="219">
        <f t="shared" si="14"/>
        <v>0</v>
      </c>
      <c r="AE22" s="219">
        <f t="shared" si="15"/>
        <v>0</v>
      </c>
      <c r="AF22" s="219">
        <f t="shared" si="16"/>
        <v>0</v>
      </c>
      <c r="AG22" s="219">
        <f t="shared" si="17"/>
        <v>0</v>
      </c>
      <c r="AH22" s="219">
        <f t="shared" si="18"/>
        <v>0</v>
      </c>
      <c r="AI22" s="219">
        <f t="shared" si="19"/>
        <v>0</v>
      </c>
      <c r="AJ22" s="219">
        <f t="shared" si="20"/>
        <v>0</v>
      </c>
      <c r="AK22" s="219">
        <f t="shared" si="21"/>
        <v>0</v>
      </c>
      <c r="AL22" s="219">
        <f t="shared" si="22"/>
        <v>0</v>
      </c>
      <c r="AM22" s="219">
        <f t="shared" si="23"/>
        <v>0</v>
      </c>
      <c r="AN22" s="301">
        <f t="shared" si="24"/>
        <v>0</v>
      </c>
      <c r="AO22" s="301">
        <f t="shared" si="25"/>
        <v>0</v>
      </c>
      <c r="AP22" s="301">
        <f t="shared" si="26"/>
        <v>0</v>
      </c>
      <c r="AQ22" s="301">
        <f t="shared" si="27"/>
        <v>0</v>
      </c>
      <c r="AR22" s="301">
        <f t="shared" si="28"/>
        <v>0</v>
      </c>
      <c r="AS22" s="301">
        <f t="shared" si="29"/>
        <v>0</v>
      </c>
      <c r="AT22" s="302">
        <f t="shared" si="30"/>
        <v>0</v>
      </c>
      <c r="AU22" s="302">
        <f t="shared" si="31"/>
        <v>0</v>
      </c>
      <c r="AV22" s="81">
        <f t="shared" si="32"/>
        <v>0</v>
      </c>
      <c r="AW22" s="82">
        <f t="shared" si="33"/>
        <v>0</v>
      </c>
      <c r="AX22" s="81">
        <f t="shared" si="34"/>
        <v>0</v>
      </c>
      <c r="AY22" s="83">
        <f t="shared" si="35"/>
        <v>0</v>
      </c>
      <c r="AZ22" s="83">
        <f t="shared" si="36"/>
        <v>0</v>
      </c>
      <c r="BA22" s="82">
        <f>IF(OR(B22=Feiertage!$A$16,B22=Feiertage!$A$19),U22*Zuschläge_24_31/100,IF(AZ22&gt;0,AZ22*Feiertag_mit/100,IF(AX22&gt;0,AX22*Zuschläge_Sa/100,IF(AY22&gt;0,AY22*Zuschlag_So/100,0))))</f>
        <v>0</v>
      </c>
      <c r="BB22" s="82">
        <f>IF(AND(B22&lt;&gt;0,G22=Voreinstellung_Übersicht!$D$41),IF(EG=1,W22*Über_klein/100,IF(EG=2,W22*Über_groß/100,"Fehler")),0)</f>
        <v>0</v>
      </c>
      <c r="BC22" s="299">
        <f t="shared" ca="1" si="41"/>
        <v>0</v>
      </c>
      <c r="BD22" s="219">
        <f t="shared" ca="1" si="37"/>
        <v>1</v>
      </c>
      <c r="BE22" s="303">
        <f ca="1">IF(B22="","",INDIRECT(ADDRESS(MATCH(B22,Soll_AZ,1)+MATCH("Arbeitszeit 1 ab",Voreinstellung_Übersicht!B:B,0)-1,4,,,"Voreinstellung_Übersicht"),TRUE))</f>
        <v>1.6666666666666665</v>
      </c>
      <c r="BF22" s="1">
        <f t="shared" si="42"/>
        <v>0</v>
      </c>
    </row>
    <row r="23" spans="1:58" s="1" customFormat="1" ht="15" x14ac:dyDescent="0.3">
      <c r="A23" s="218">
        <f t="shared" si="0"/>
        <v>20</v>
      </c>
      <c r="B23" s="47">
        <f t="shared" si="38"/>
        <v>42139</v>
      </c>
      <c r="C23" s="219">
        <f t="shared" si="1"/>
        <v>1</v>
      </c>
      <c r="D23" s="220" t="str">
        <f t="shared" si="2"/>
        <v/>
      </c>
      <c r="E23" s="298" t="str">
        <f t="shared" si="3"/>
        <v/>
      </c>
      <c r="F23" s="87">
        <f t="shared" si="4"/>
        <v>42139</v>
      </c>
      <c r="G23" s="147"/>
      <c r="H23" s="74"/>
      <c r="I23" s="75"/>
      <c r="J23" s="221">
        <f t="shared" si="5"/>
        <v>0</v>
      </c>
      <c r="K23" s="76"/>
      <c r="L23" s="221">
        <f t="shared" si="43"/>
        <v>0</v>
      </c>
      <c r="M23" s="74"/>
      <c r="N23" s="75"/>
      <c r="O23" s="221">
        <f t="shared" si="6"/>
        <v>0</v>
      </c>
      <c r="P23" s="76"/>
      <c r="Q23" s="221">
        <f t="shared" si="44"/>
        <v>0</v>
      </c>
      <c r="R23" s="221">
        <f t="shared" si="45"/>
        <v>0</v>
      </c>
      <c r="S23" s="221">
        <f t="shared" si="7"/>
        <v>0</v>
      </c>
      <c r="T23" s="79">
        <f t="shared" si="8"/>
        <v>0</v>
      </c>
      <c r="U23" s="79">
        <f t="shared" si="39"/>
        <v>0</v>
      </c>
      <c r="V23" s="80">
        <f t="shared" ca="1" si="9"/>
        <v>0.33333333329999998</v>
      </c>
      <c r="W23" s="249" t="str">
        <f t="shared" ca="1" si="10"/>
        <v/>
      </c>
      <c r="X23" s="293"/>
      <c r="Y23" s="221">
        <f t="shared" si="11"/>
        <v>0</v>
      </c>
      <c r="Z23" s="299">
        <f ca="1">IF(B23="","",INDIRECT(ADDRESS(MATCH(B23,Soll_AZ,1)+MATCH("Arbeitszeit 1 ab",Voreinstellung_Übersicht!B:B,0)-1,WEEKDAY(B23,2)+4,,,"Voreinstellung_Übersicht"),TRUE))</f>
        <v>0.33333333333333331</v>
      </c>
      <c r="AA23" s="300">
        <f t="shared" ca="1" si="40"/>
        <v>0</v>
      </c>
      <c r="AB23" s="219">
        <f t="shared" si="12"/>
        <v>0</v>
      </c>
      <c r="AC23" s="219">
        <f t="shared" si="13"/>
        <v>0</v>
      </c>
      <c r="AD23" s="219">
        <f t="shared" si="14"/>
        <v>0</v>
      </c>
      <c r="AE23" s="219">
        <f t="shared" si="15"/>
        <v>0</v>
      </c>
      <c r="AF23" s="219">
        <f t="shared" si="16"/>
        <v>0</v>
      </c>
      <c r="AG23" s="219">
        <f t="shared" si="17"/>
        <v>0</v>
      </c>
      <c r="AH23" s="219">
        <f t="shared" si="18"/>
        <v>0</v>
      </c>
      <c r="AI23" s="219">
        <f t="shared" si="19"/>
        <v>0</v>
      </c>
      <c r="AJ23" s="219">
        <f t="shared" si="20"/>
        <v>0</v>
      </c>
      <c r="AK23" s="219">
        <f t="shared" si="21"/>
        <v>0</v>
      </c>
      <c r="AL23" s="219">
        <f t="shared" si="22"/>
        <v>0</v>
      </c>
      <c r="AM23" s="219">
        <f t="shared" si="23"/>
        <v>0</v>
      </c>
      <c r="AN23" s="301">
        <f t="shared" si="24"/>
        <v>0</v>
      </c>
      <c r="AO23" s="301">
        <f t="shared" si="25"/>
        <v>0</v>
      </c>
      <c r="AP23" s="301">
        <f t="shared" si="26"/>
        <v>0</v>
      </c>
      <c r="AQ23" s="301">
        <f t="shared" si="27"/>
        <v>0</v>
      </c>
      <c r="AR23" s="301">
        <f t="shared" si="28"/>
        <v>0</v>
      </c>
      <c r="AS23" s="301">
        <f t="shared" si="29"/>
        <v>0</v>
      </c>
      <c r="AT23" s="302">
        <f t="shared" si="30"/>
        <v>0</v>
      </c>
      <c r="AU23" s="302">
        <f t="shared" si="31"/>
        <v>0</v>
      </c>
      <c r="AV23" s="81">
        <f t="shared" si="32"/>
        <v>0</v>
      </c>
      <c r="AW23" s="82">
        <f t="shared" si="33"/>
        <v>0</v>
      </c>
      <c r="AX23" s="81">
        <f t="shared" si="34"/>
        <v>0</v>
      </c>
      <c r="AY23" s="83">
        <f t="shared" si="35"/>
        <v>0</v>
      </c>
      <c r="AZ23" s="83">
        <f t="shared" si="36"/>
        <v>0</v>
      </c>
      <c r="BA23" s="82">
        <f>IF(OR(B23=Feiertage!$A$16,B23=Feiertage!$A$19),U23*Zuschläge_24_31/100,IF(AZ23&gt;0,AZ23*Feiertag_mit/100,IF(AX23&gt;0,AX23*Zuschläge_Sa/100,IF(AY23&gt;0,AY23*Zuschlag_So/100,0))))</f>
        <v>0</v>
      </c>
      <c r="BB23" s="82">
        <f>IF(AND(B23&lt;&gt;0,G23=Voreinstellung_Übersicht!$D$41),IF(EG=1,W23*Über_klein/100,IF(EG=2,W23*Über_groß/100,"Fehler")),0)</f>
        <v>0</v>
      </c>
      <c r="BC23" s="299">
        <f t="shared" ca="1" si="41"/>
        <v>0</v>
      </c>
      <c r="BD23" s="219">
        <f t="shared" ca="1" si="37"/>
        <v>1</v>
      </c>
      <c r="BE23" s="303">
        <f ca="1">IF(B23="","",INDIRECT(ADDRESS(MATCH(B23,Soll_AZ,1)+MATCH("Arbeitszeit 1 ab",Voreinstellung_Übersicht!B:B,0)-1,4,,,"Voreinstellung_Übersicht"),TRUE))</f>
        <v>1.6666666666666665</v>
      </c>
      <c r="BF23" s="1">
        <f t="shared" si="42"/>
        <v>0</v>
      </c>
    </row>
    <row r="24" spans="1:58" s="1" customFormat="1" ht="15" x14ac:dyDescent="0.3">
      <c r="A24" s="218">
        <f t="shared" si="0"/>
        <v>20</v>
      </c>
      <c r="B24" s="47">
        <f t="shared" si="38"/>
        <v>42140</v>
      </c>
      <c r="C24" s="219">
        <f t="shared" si="1"/>
        <v>1</v>
      </c>
      <c r="D24" s="220" t="str">
        <f t="shared" si="2"/>
        <v/>
      </c>
      <c r="E24" s="298" t="str">
        <f t="shared" si="3"/>
        <v/>
      </c>
      <c r="F24" s="87">
        <f t="shared" si="4"/>
        <v>42140</v>
      </c>
      <c r="G24" s="147"/>
      <c r="H24" s="74"/>
      <c r="I24" s="75"/>
      <c r="J24" s="221">
        <f t="shared" si="5"/>
        <v>0</v>
      </c>
      <c r="K24" s="76"/>
      <c r="L24" s="221">
        <f t="shared" si="43"/>
        <v>0</v>
      </c>
      <c r="M24" s="74"/>
      <c r="N24" s="75"/>
      <c r="O24" s="221">
        <f t="shared" si="6"/>
        <v>0</v>
      </c>
      <c r="P24" s="76"/>
      <c r="Q24" s="221">
        <f t="shared" si="44"/>
        <v>0</v>
      </c>
      <c r="R24" s="221">
        <f t="shared" si="45"/>
        <v>0</v>
      </c>
      <c r="S24" s="221">
        <f t="shared" si="7"/>
        <v>0</v>
      </c>
      <c r="T24" s="79">
        <f t="shared" si="8"/>
        <v>0</v>
      </c>
      <c r="U24" s="79">
        <f t="shared" si="39"/>
        <v>0</v>
      </c>
      <c r="V24" s="80">
        <f t="shared" ca="1" si="9"/>
        <v>0.33333333329999998</v>
      </c>
      <c r="W24" s="249" t="str">
        <f t="shared" ca="1" si="10"/>
        <v/>
      </c>
      <c r="X24" s="293"/>
      <c r="Y24" s="221">
        <f t="shared" si="11"/>
        <v>0</v>
      </c>
      <c r="Z24" s="299">
        <f ca="1">IF(B24="","",INDIRECT(ADDRESS(MATCH(B24,Soll_AZ,1)+MATCH("Arbeitszeit 1 ab",Voreinstellung_Übersicht!B:B,0)-1,WEEKDAY(B24,2)+4,,,"Voreinstellung_Übersicht"),TRUE))</f>
        <v>0.33333333333333331</v>
      </c>
      <c r="AA24" s="300">
        <f t="shared" ca="1" si="40"/>
        <v>0</v>
      </c>
      <c r="AB24" s="219">
        <f t="shared" si="12"/>
        <v>0</v>
      </c>
      <c r="AC24" s="219">
        <f t="shared" si="13"/>
        <v>0</v>
      </c>
      <c r="AD24" s="219">
        <f t="shared" si="14"/>
        <v>0</v>
      </c>
      <c r="AE24" s="219">
        <f t="shared" si="15"/>
        <v>0</v>
      </c>
      <c r="AF24" s="219">
        <f t="shared" si="16"/>
        <v>0</v>
      </c>
      <c r="AG24" s="219">
        <f t="shared" si="17"/>
        <v>0</v>
      </c>
      <c r="AH24" s="219">
        <f t="shared" si="18"/>
        <v>0</v>
      </c>
      <c r="AI24" s="219">
        <f t="shared" si="19"/>
        <v>0</v>
      </c>
      <c r="AJ24" s="219">
        <f t="shared" si="20"/>
        <v>0</v>
      </c>
      <c r="AK24" s="219">
        <f t="shared" si="21"/>
        <v>0</v>
      </c>
      <c r="AL24" s="219">
        <f t="shared" si="22"/>
        <v>0</v>
      </c>
      <c r="AM24" s="219">
        <f t="shared" si="23"/>
        <v>0</v>
      </c>
      <c r="AN24" s="301">
        <f t="shared" si="24"/>
        <v>0</v>
      </c>
      <c r="AO24" s="301">
        <f t="shared" si="25"/>
        <v>0</v>
      </c>
      <c r="AP24" s="301">
        <f t="shared" si="26"/>
        <v>0</v>
      </c>
      <c r="AQ24" s="301">
        <f t="shared" si="27"/>
        <v>0</v>
      </c>
      <c r="AR24" s="301">
        <f t="shared" si="28"/>
        <v>0</v>
      </c>
      <c r="AS24" s="301">
        <f t="shared" si="29"/>
        <v>0</v>
      </c>
      <c r="AT24" s="302">
        <f t="shared" si="30"/>
        <v>0</v>
      </c>
      <c r="AU24" s="302">
        <f t="shared" si="31"/>
        <v>0</v>
      </c>
      <c r="AV24" s="81">
        <f t="shared" si="32"/>
        <v>0</v>
      </c>
      <c r="AW24" s="82">
        <f t="shared" si="33"/>
        <v>0</v>
      </c>
      <c r="AX24" s="81">
        <f t="shared" si="34"/>
        <v>0</v>
      </c>
      <c r="AY24" s="83">
        <f t="shared" si="35"/>
        <v>0</v>
      </c>
      <c r="AZ24" s="83">
        <f t="shared" si="36"/>
        <v>0</v>
      </c>
      <c r="BA24" s="82">
        <f>IF(OR(B24=Feiertage!$A$16,B24=Feiertage!$A$19),U24*Zuschläge_24_31/100,IF(AZ24&gt;0,AZ24*Feiertag_mit/100,IF(AX24&gt;0,AX24*Zuschläge_Sa/100,IF(AY24&gt;0,AY24*Zuschlag_So/100,0))))</f>
        <v>0</v>
      </c>
      <c r="BB24" s="82">
        <f>IF(AND(B24&lt;&gt;0,G24=Voreinstellung_Übersicht!$D$41),IF(EG=1,W24*Über_klein/100,IF(EG=2,W24*Über_groß/100,"Fehler")),0)</f>
        <v>0</v>
      </c>
      <c r="BC24" s="299">
        <f t="shared" ca="1" si="41"/>
        <v>0</v>
      </c>
      <c r="BD24" s="219">
        <f t="shared" ca="1" si="37"/>
        <v>1</v>
      </c>
      <c r="BE24" s="303">
        <f ca="1">IF(B24="","",INDIRECT(ADDRESS(MATCH(B24,Soll_AZ,1)+MATCH("Arbeitszeit 1 ab",Voreinstellung_Übersicht!B:B,0)-1,4,,,"Voreinstellung_Übersicht"),TRUE))</f>
        <v>1.6666666666666665</v>
      </c>
      <c r="BF24" s="1">
        <f t="shared" si="42"/>
        <v>0</v>
      </c>
    </row>
    <row r="25" spans="1:58" s="1" customFormat="1" ht="15" x14ac:dyDescent="0.3">
      <c r="A25" s="218">
        <f t="shared" si="0"/>
        <v>20</v>
      </c>
      <c r="B25" s="47">
        <f t="shared" si="38"/>
        <v>42141</v>
      </c>
      <c r="C25" s="219">
        <f t="shared" si="1"/>
        <v>0</v>
      </c>
      <c r="D25" s="220" t="str">
        <f t="shared" si="2"/>
        <v/>
      </c>
      <c r="E25" s="298" t="str">
        <f t="shared" si="3"/>
        <v/>
      </c>
      <c r="F25" s="87">
        <f t="shared" si="4"/>
        <v>42141</v>
      </c>
      <c r="G25" s="147"/>
      <c r="H25" s="74"/>
      <c r="I25" s="75"/>
      <c r="J25" s="221">
        <f t="shared" si="5"/>
        <v>0</v>
      </c>
      <c r="K25" s="76"/>
      <c r="L25" s="221">
        <f t="shared" si="43"/>
        <v>0</v>
      </c>
      <c r="M25" s="74"/>
      <c r="N25" s="75"/>
      <c r="O25" s="221">
        <f t="shared" si="6"/>
        <v>0</v>
      </c>
      <c r="P25" s="76"/>
      <c r="Q25" s="221">
        <f t="shared" si="44"/>
        <v>0</v>
      </c>
      <c r="R25" s="221">
        <f t="shared" si="45"/>
        <v>0</v>
      </c>
      <c r="S25" s="221">
        <f t="shared" si="7"/>
        <v>0</v>
      </c>
      <c r="T25" s="79">
        <f t="shared" si="8"/>
        <v>0</v>
      </c>
      <c r="U25" s="79">
        <f t="shared" si="39"/>
        <v>0</v>
      </c>
      <c r="V25" s="80">
        <f t="shared" ca="1" si="9"/>
        <v>0</v>
      </c>
      <c r="W25" s="249" t="str">
        <f t="shared" ca="1" si="10"/>
        <v/>
      </c>
      <c r="X25" s="293"/>
      <c r="Y25" s="221">
        <f t="shared" si="11"/>
        <v>0</v>
      </c>
      <c r="Z25" s="299">
        <f ca="1">IF(B25="","",INDIRECT(ADDRESS(MATCH(B25,Soll_AZ,1)+MATCH("Arbeitszeit 1 ab",Voreinstellung_Übersicht!B:B,0)-1,WEEKDAY(B25,2)+4,,,"Voreinstellung_Übersicht"),TRUE))</f>
        <v>0</v>
      </c>
      <c r="AA25" s="300">
        <f t="shared" ca="1" si="40"/>
        <v>0</v>
      </c>
      <c r="AB25" s="219">
        <f t="shared" si="12"/>
        <v>0</v>
      </c>
      <c r="AC25" s="219">
        <f t="shared" si="13"/>
        <v>0</v>
      </c>
      <c r="AD25" s="219">
        <f t="shared" si="14"/>
        <v>0</v>
      </c>
      <c r="AE25" s="219">
        <f t="shared" si="15"/>
        <v>0</v>
      </c>
      <c r="AF25" s="219">
        <f t="shared" si="16"/>
        <v>0</v>
      </c>
      <c r="AG25" s="219">
        <f t="shared" si="17"/>
        <v>0</v>
      </c>
      <c r="AH25" s="219">
        <f t="shared" si="18"/>
        <v>0</v>
      </c>
      <c r="AI25" s="219">
        <f t="shared" si="19"/>
        <v>0</v>
      </c>
      <c r="AJ25" s="219">
        <f t="shared" si="20"/>
        <v>0</v>
      </c>
      <c r="AK25" s="219">
        <f t="shared" si="21"/>
        <v>0</v>
      </c>
      <c r="AL25" s="219">
        <f t="shared" si="22"/>
        <v>0</v>
      </c>
      <c r="AM25" s="219">
        <f t="shared" si="23"/>
        <v>0</v>
      </c>
      <c r="AN25" s="301">
        <f t="shared" si="24"/>
        <v>0</v>
      </c>
      <c r="AO25" s="301">
        <f t="shared" si="25"/>
        <v>0</v>
      </c>
      <c r="AP25" s="301">
        <f t="shared" si="26"/>
        <v>0</v>
      </c>
      <c r="AQ25" s="301">
        <f t="shared" si="27"/>
        <v>0</v>
      </c>
      <c r="AR25" s="301">
        <f t="shared" si="28"/>
        <v>0</v>
      </c>
      <c r="AS25" s="301">
        <f t="shared" si="29"/>
        <v>0</v>
      </c>
      <c r="AT25" s="302">
        <f t="shared" si="30"/>
        <v>0</v>
      </c>
      <c r="AU25" s="302">
        <f t="shared" si="31"/>
        <v>0</v>
      </c>
      <c r="AV25" s="81">
        <f t="shared" si="32"/>
        <v>0</v>
      </c>
      <c r="AW25" s="82">
        <f t="shared" si="33"/>
        <v>0</v>
      </c>
      <c r="AX25" s="81">
        <f t="shared" si="34"/>
        <v>0</v>
      </c>
      <c r="AY25" s="83">
        <f t="shared" si="35"/>
        <v>0</v>
      </c>
      <c r="AZ25" s="83">
        <f t="shared" si="36"/>
        <v>0</v>
      </c>
      <c r="BA25" s="82">
        <f>IF(OR(B25=Feiertage!$A$16,B25=Feiertage!$A$19),U25*Zuschläge_24_31/100,IF(AZ25&gt;0,AZ25*Feiertag_mit/100,IF(AX25&gt;0,AX25*Zuschläge_Sa/100,IF(AY25&gt;0,AY25*Zuschlag_So/100,0))))</f>
        <v>0</v>
      </c>
      <c r="BB25" s="82">
        <f>IF(AND(B25&lt;&gt;0,G25=Voreinstellung_Übersicht!$D$41),IF(EG=1,W25*Über_klein/100,IF(EG=2,W25*Über_groß/100,"Fehler")),0)</f>
        <v>0</v>
      </c>
      <c r="BC25" s="299">
        <f t="shared" ca="1" si="41"/>
        <v>0</v>
      </c>
      <c r="BD25" s="219">
        <f t="shared" ca="1" si="37"/>
        <v>1</v>
      </c>
      <c r="BE25" s="303">
        <f ca="1">IF(B25="","",INDIRECT(ADDRESS(MATCH(B25,Soll_AZ,1)+MATCH("Arbeitszeit 1 ab",Voreinstellung_Übersicht!B:B,0)-1,4,,,"Voreinstellung_Übersicht"),TRUE))</f>
        <v>1.6666666666666665</v>
      </c>
      <c r="BF25" s="1">
        <f t="shared" si="42"/>
        <v>0</v>
      </c>
    </row>
    <row r="26" spans="1:58" s="1" customFormat="1" ht="15" x14ac:dyDescent="0.3">
      <c r="A26" s="218">
        <f t="shared" si="0"/>
        <v>21</v>
      </c>
      <c r="B26" s="47">
        <f t="shared" si="38"/>
        <v>42142</v>
      </c>
      <c r="C26" s="219">
        <f t="shared" si="1"/>
        <v>0</v>
      </c>
      <c r="D26" s="220" t="str">
        <f t="shared" si="2"/>
        <v/>
      </c>
      <c r="E26" s="298" t="str">
        <f t="shared" si="3"/>
        <v/>
      </c>
      <c r="F26" s="87">
        <f t="shared" si="4"/>
        <v>42142</v>
      </c>
      <c r="G26" s="147"/>
      <c r="H26" s="74"/>
      <c r="I26" s="75"/>
      <c r="J26" s="221">
        <f t="shared" si="5"/>
        <v>0</v>
      </c>
      <c r="K26" s="76"/>
      <c r="L26" s="221">
        <f t="shared" si="43"/>
        <v>0</v>
      </c>
      <c r="M26" s="74"/>
      <c r="N26" s="75"/>
      <c r="O26" s="221">
        <f t="shared" si="6"/>
        <v>0</v>
      </c>
      <c r="P26" s="76"/>
      <c r="Q26" s="221">
        <f t="shared" si="44"/>
        <v>0</v>
      </c>
      <c r="R26" s="221">
        <f t="shared" si="45"/>
        <v>0</v>
      </c>
      <c r="S26" s="221">
        <f t="shared" si="7"/>
        <v>0</v>
      </c>
      <c r="T26" s="79">
        <f t="shared" si="8"/>
        <v>0</v>
      </c>
      <c r="U26" s="79">
        <f t="shared" si="39"/>
        <v>0</v>
      </c>
      <c r="V26" s="80">
        <f t="shared" ca="1" si="9"/>
        <v>0</v>
      </c>
      <c r="W26" s="249" t="str">
        <f t="shared" ca="1" si="10"/>
        <v/>
      </c>
      <c r="X26" s="293"/>
      <c r="Y26" s="221">
        <f t="shared" si="11"/>
        <v>0</v>
      </c>
      <c r="Z26" s="299">
        <f ca="1">IF(B26="","",INDIRECT(ADDRESS(MATCH(B26,Soll_AZ,1)+MATCH("Arbeitszeit 1 ab",Voreinstellung_Übersicht!B:B,0)-1,WEEKDAY(B26,2)+4,,,"Voreinstellung_Übersicht"),TRUE))</f>
        <v>0</v>
      </c>
      <c r="AA26" s="300">
        <f t="shared" ca="1" si="40"/>
        <v>0</v>
      </c>
      <c r="AB26" s="219">
        <f t="shared" si="12"/>
        <v>0</v>
      </c>
      <c r="AC26" s="219">
        <f t="shared" si="13"/>
        <v>0</v>
      </c>
      <c r="AD26" s="219">
        <f t="shared" si="14"/>
        <v>0</v>
      </c>
      <c r="AE26" s="219">
        <f t="shared" si="15"/>
        <v>0</v>
      </c>
      <c r="AF26" s="219">
        <f t="shared" si="16"/>
        <v>0</v>
      </c>
      <c r="AG26" s="219">
        <f t="shared" si="17"/>
        <v>0</v>
      </c>
      <c r="AH26" s="219">
        <f t="shared" si="18"/>
        <v>0</v>
      </c>
      <c r="AI26" s="219">
        <f t="shared" si="19"/>
        <v>0</v>
      </c>
      <c r="AJ26" s="219">
        <f t="shared" si="20"/>
        <v>0</v>
      </c>
      <c r="AK26" s="219">
        <f t="shared" si="21"/>
        <v>0</v>
      </c>
      <c r="AL26" s="219">
        <f t="shared" si="22"/>
        <v>0</v>
      </c>
      <c r="AM26" s="219">
        <f t="shared" si="23"/>
        <v>0</v>
      </c>
      <c r="AN26" s="301">
        <f t="shared" si="24"/>
        <v>0</v>
      </c>
      <c r="AO26" s="301">
        <f t="shared" si="25"/>
        <v>0</v>
      </c>
      <c r="AP26" s="301">
        <f t="shared" si="26"/>
        <v>0</v>
      </c>
      <c r="AQ26" s="301">
        <f t="shared" si="27"/>
        <v>0</v>
      </c>
      <c r="AR26" s="301">
        <f t="shared" si="28"/>
        <v>0</v>
      </c>
      <c r="AS26" s="301">
        <f t="shared" si="29"/>
        <v>0</v>
      </c>
      <c r="AT26" s="302">
        <f t="shared" si="30"/>
        <v>0</v>
      </c>
      <c r="AU26" s="302">
        <f t="shared" si="31"/>
        <v>0</v>
      </c>
      <c r="AV26" s="81">
        <f t="shared" si="32"/>
        <v>0</v>
      </c>
      <c r="AW26" s="82">
        <f t="shared" si="33"/>
        <v>0</v>
      </c>
      <c r="AX26" s="81">
        <f t="shared" si="34"/>
        <v>0</v>
      </c>
      <c r="AY26" s="83">
        <f t="shared" si="35"/>
        <v>0</v>
      </c>
      <c r="AZ26" s="83">
        <f t="shared" si="36"/>
        <v>0</v>
      </c>
      <c r="BA26" s="82">
        <f>IF(OR(B26=Feiertage!$A$16,B26=Feiertage!$A$19),U26*Zuschläge_24_31/100,IF(AZ26&gt;0,AZ26*Feiertag_mit/100,IF(AX26&gt;0,AX26*Zuschläge_Sa/100,IF(AY26&gt;0,AY26*Zuschlag_So/100,0))))</f>
        <v>0</v>
      </c>
      <c r="BB26" s="82">
        <f>IF(AND(B26&lt;&gt;0,G26=Voreinstellung_Übersicht!$D$41),IF(EG=1,W26*Über_klein/100,IF(EG=2,W26*Über_groß/100,"Fehler")),0)</f>
        <v>0</v>
      </c>
      <c r="BC26" s="299">
        <f t="shared" ca="1" si="41"/>
        <v>0</v>
      </c>
      <c r="BD26" s="219">
        <f t="shared" ca="1" si="37"/>
        <v>1</v>
      </c>
      <c r="BE26" s="303">
        <f ca="1">IF(B26="","",INDIRECT(ADDRESS(MATCH(B26,Soll_AZ,1)+MATCH("Arbeitszeit 1 ab",Voreinstellung_Übersicht!B:B,0)-1,4,,,"Voreinstellung_Übersicht"),TRUE))</f>
        <v>1.6666666666666665</v>
      </c>
      <c r="BF26" s="1">
        <f t="shared" si="42"/>
        <v>0</v>
      </c>
    </row>
    <row r="27" spans="1:58" s="1" customFormat="1" ht="15" x14ac:dyDescent="0.3">
      <c r="A27" s="218">
        <f t="shared" si="0"/>
        <v>21</v>
      </c>
      <c r="B27" s="47">
        <f t="shared" si="38"/>
        <v>42143</v>
      </c>
      <c r="C27" s="219">
        <f t="shared" si="1"/>
        <v>1</v>
      </c>
      <c r="D27" s="220" t="str">
        <f t="shared" si="2"/>
        <v/>
      </c>
      <c r="E27" s="298" t="str">
        <f t="shared" si="3"/>
        <v/>
      </c>
      <c r="F27" s="87">
        <f t="shared" si="4"/>
        <v>42143</v>
      </c>
      <c r="G27" s="147"/>
      <c r="H27" s="74"/>
      <c r="I27" s="75"/>
      <c r="J27" s="221">
        <f t="shared" si="5"/>
        <v>0</v>
      </c>
      <c r="K27" s="76"/>
      <c r="L27" s="221">
        <f t="shared" si="43"/>
        <v>0</v>
      </c>
      <c r="M27" s="74"/>
      <c r="N27" s="75"/>
      <c r="O27" s="221">
        <f t="shared" si="6"/>
        <v>0</v>
      </c>
      <c r="P27" s="76"/>
      <c r="Q27" s="221">
        <f t="shared" si="44"/>
        <v>0</v>
      </c>
      <c r="R27" s="221">
        <f t="shared" si="45"/>
        <v>0</v>
      </c>
      <c r="S27" s="221">
        <f t="shared" si="7"/>
        <v>0</v>
      </c>
      <c r="T27" s="79">
        <f t="shared" si="8"/>
        <v>0</v>
      </c>
      <c r="U27" s="79">
        <f t="shared" si="39"/>
        <v>0</v>
      </c>
      <c r="V27" s="80">
        <f t="shared" ca="1" si="9"/>
        <v>0.33333333329999998</v>
      </c>
      <c r="W27" s="249" t="str">
        <f t="shared" ca="1" si="10"/>
        <v/>
      </c>
      <c r="X27" s="293"/>
      <c r="Y27" s="221">
        <f t="shared" si="11"/>
        <v>0</v>
      </c>
      <c r="Z27" s="299">
        <f ca="1">IF(B27="","",INDIRECT(ADDRESS(MATCH(B27,Soll_AZ,1)+MATCH("Arbeitszeit 1 ab",Voreinstellung_Übersicht!B:B,0)-1,WEEKDAY(B27,2)+4,,,"Voreinstellung_Übersicht"),TRUE))</f>
        <v>0.33333333333333331</v>
      </c>
      <c r="AA27" s="300">
        <f t="shared" ca="1" si="40"/>
        <v>0</v>
      </c>
      <c r="AB27" s="219">
        <f t="shared" si="12"/>
        <v>0</v>
      </c>
      <c r="AC27" s="219">
        <f t="shared" si="13"/>
        <v>0</v>
      </c>
      <c r="AD27" s="219">
        <f t="shared" si="14"/>
        <v>0</v>
      </c>
      <c r="AE27" s="219">
        <f t="shared" si="15"/>
        <v>0</v>
      </c>
      <c r="AF27" s="219">
        <f t="shared" si="16"/>
        <v>0</v>
      </c>
      <c r="AG27" s="219">
        <f t="shared" si="17"/>
        <v>0</v>
      </c>
      <c r="AH27" s="219">
        <f t="shared" si="18"/>
        <v>0</v>
      </c>
      <c r="AI27" s="219">
        <f t="shared" si="19"/>
        <v>0</v>
      </c>
      <c r="AJ27" s="219">
        <f t="shared" si="20"/>
        <v>0</v>
      </c>
      <c r="AK27" s="219">
        <f t="shared" si="21"/>
        <v>0</v>
      </c>
      <c r="AL27" s="219">
        <f t="shared" si="22"/>
        <v>0</v>
      </c>
      <c r="AM27" s="219">
        <f t="shared" si="23"/>
        <v>0</v>
      </c>
      <c r="AN27" s="301">
        <f t="shared" si="24"/>
        <v>0</v>
      </c>
      <c r="AO27" s="301">
        <f t="shared" si="25"/>
        <v>0</v>
      </c>
      <c r="AP27" s="301">
        <f t="shared" si="26"/>
        <v>0</v>
      </c>
      <c r="AQ27" s="301">
        <f t="shared" si="27"/>
        <v>0</v>
      </c>
      <c r="AR27" s="301">
        <f t="shared" si="28"/>
        <v>0</v>
      </c>
      <c r="AS27" s="301">
        <f t="shared" si="29"/>
        <v>0</v>
      </c>
      <c r="AT27" s="302">
        <f t="shared" si="30"/>
        <v>0</v>
      </c>
      <c r="AU27" s="302">
        <f t="shared" si="31"/>
        <v>0</v>
      </c>
      <c r="AV27" s="81">
        <f t="shared" si="32"/>
        <v>0</v>
      </c>
      <c r="AW27" s="82">
        <f t="shared" si="33"/>
        <v>0</v>
      </c>
      <c r="AX27" s="81">
        <f t="shared" si="34"/>
        <v>0</v>
      </c>
      <c r="AY27" s="83">
        <f t="shared" si="35"/>
        <v>0</v>
      </c>
      <c r="AZ27" s="83">
        <f t="shared" si="36"/>
        <v>0</v>
      </c>
      <c r="BA27" s="82">
        <f>IF(OR(B27=Feiertage!$A$16,B27=Feiertage!$A$19),U27*Zuschläge_24_31/100,IF(AZ27&gt;0,AZ27*Feiertag_mit/100,IF(AX27&gt;0,AX27*Zuschläge_Sa/100,IF(AY27&gt;0,AY27*Zuschlag_So/100,0))))</f>
        <v>0</v>
      </c>
      <c r="BB27" s="82">
        <f>IF(AND(B27&lt;&gt;0,G27=Voreinstellung_Übersicht!$D$41),IF(EG=1,W27*Über_klein/100,IF(EG=2,W27*Über_groß/100,"Fehler")),0)</f>
        <v>0</v>
      </c>
      <c r="BC27" s="299">
        <f t="shared" ca="1" si="41"/>
        <v>0</v>
      </c>
      <c r="BD27" s="219">
        <f t="shared" ca="1" si="37"/>
        <v>1</v>
      </c>
      <c r="BE27" s="303">
        <f ca="1">IF(B27="","",INDIRECT(ADDRESS(MATCH(B27,Soll_AZ,1)+MATCH("Arbeitszeit 1 ab",Voreinstellung_Übersicht!B:B,0)-1,4,,,"Voreinstellung_Übersicht"),TRUE))</f>
        <v>1.6666666666666665</v>
      </c>
      <c r="BF27" s="1">
        <f t="shared" si="42"/>
        <v>0</v>
      </c>
    </row>
    <row r="28" spans="1:58" s="1" customFormat="1" ht="15" x14ac:dyDescent="0.3">
      <c r="A28" s="218">
        <f t="shared" si="0"/>
        <v>21</v>
      </c>
      <c r="B28" s="47">
        <f t="shared" si="38"/>
        <v>42144</v>
      </c>
      <c r="C28" s="219">
        <f t="shared" si="1"/>
        <v>1</v>
      </c>
      <c r="D28" s="220" t="str">
        <f t="shared" si="2"/>
        <v/>
      </c>
      <c r="E28" s="298" t="str">
        <f t="shared" si="3"/>
        <v/>
      </c>
      <c r="F28" s="87">
        <f t="shared" si="4"/>
        <v>42144</v>
      </c>
      <c r="G28" s="147"/>
      <c r="H28" s="74"/>
      <c r="I28" s="75"/>
      <c r="J28" s="221">
        <f t="shared" si="5"/>
        <v>0</v>
      </c>
      <c r="K28" s="76"/>
      <c r="L28" s="221">
        <f t="shared" si="43"/>
        <v>0</v>
      </c>
      <c r="M28" s="74"/>
      <c r="N28" s="75"/>
      <c r="O28" s="221">
        <f t="shared" si="6"/>
        <v>0</v>
      </c>
      <c r="P28" s="76"/>
      <c r="Q28" s="221">
        <f t="shared" si="44"/>
        <v>0</v>
      </c>
      <c r="R28" s="221">
        <f t="shared" si="45"/>
        <v>0</v>
      </c>
      <c r="S28" s="221">
        <f t="shared" si="7"/>
        <v>0</v>
      </c>
      <c r="T28" s="79">
        <f t="shared" si="8"/>
        <v>0</v>
      </c>
      <c r="U28" s="79">
        <f t="shared" si="39"/>
        <v>0</v>
      </c>
      <c r="V28" s="80">
        <f t="shared" ca="1" si="9"/>
        <v>0.33333333329999998</v>
      </c>
      <c r="W28" s="249" t="str">
        <f t="shared" ca="1" si="10"/>
        <v/>
      </c>
      <c r="X28" s="293"/>
      <c r="Y28" s="221">
        <f t="shared" si="11"/>
        <v>0</v>
      </c>
      <c r="Z28" s="299">
        <f ca="1">IF(B28="","",INDIRECT(ADDRESS(MATCH(B28,Soll_AZ,1)+MATCH("Arbeitszeit 1 ab",Voreinstellung_Übersicht!B:B,0)-1,WEEKDAY(B28,2)+4,,,"Voreinstellung_Übersicht"),TRUE))</f>
        <v>0.33333333333333331</v>
      </c>
      <c r="AA28" s="300">
        <f t="shared" ca="1" si="40"/>
        <v>0</v>
      </c>
      <c r="AB28" s="219">
        <f t="shared" si="12"/>
        <v>0</v>
      </c>
      <c r="AC28" s="219">
        <f t="shared" si="13"/>
        <v>0</v>
      </c>
      <c r="AD28" s="219">
        <f t="shared" si="14"/>
        <v>0</v>
      </c>
      <c r="AE28" s="219">
        <f t="shared" si="15"/>
        <v>0</v>
      </c>
      <c r="AF28" s="219">
        <f t="shared" si="16"/>
        <v>0</v>
      </c>
      <c r="AG28" s="219">
        <f t="shared" si="17"/>
        <v>0</v>
      </c>
      <c r="AH28" s="219">
        <f t="shared" si="18"/>
        <v>0</v>
      </c>
      <c r="AI28" s="219">
        <f t="shared" si="19"/>
        <v>0</v>
      </c>
      <c r="AJ28" s="219">
        <f t="shared" si="20"/>
        <v>0</v>
      </c>
      <c r="AK28" s="219">
        <f t="shared" si="21"/>
        <v>0</v>
      </c>
      <c r="AL28" s="219">
        <f t="shared" si="22"/>
        <v>0</v>
      </c>
      <c r="AM28" s="219">
        <f t="shared" si="23"/>
        <v>0</v>
      </c>
      <c r="AN28" s="301">
        <f t="shared" si="24"/>
        <v>0</v>
      </c>
      <c r="AO28" s="301">
        <f t="shared" si="25"/>
        <v>0</v>
      </c>
      <c r="AP28" s="301">
        <f t="shared" si="26"/>
        <v>0</v>
      </c>
      <c r="AQ28" s="301">
        <f t="shared" si="27"/>
        <v>0</v>
      </c>
      <c r="AR28" s="301">
        <f t="shared" si="28"/>
        <v>0</v>
      </c>
      <c r="AS28" s="301">
        <f t="shared" si="29"/>
        <v>0</v>
      </c>
      <c r="AT28" s="302">
        <f t="shared" si="30"/>
        <v>0</v>
      </c>
      <c r="AU28" s="302">
        <f t="shared" si="31"/>
        <v>0</v>
      </c>
      <c r="AV28" s="81">
        <f t="shared" si="32"/>
        <v>0</v>
      </c>
      <c r="AW28" s="82">
        <f t="shared" si="33"/>
        <v>0</v>
      </c>
      <c r="AX28" s="81">
        <f t="shared" si="34"/>
        <v>0</v>
      </c>
      <c r="AY28" s="83">
        <f t="shared" si="35"/>
        <v>0</v>
      </c>
      <c r="AZ28" s="83">
        <f t="shared" si="36"/>
        <v>0</v>
      </c>
      <c r="BA28" s="82">
        <f>IF(OR(B28=Feiertage!$A$16,B28=Feiertage!$A$19),U28*Zuschläge_24_31/100,IF(AZ28&gt;0,AZ28*Feiertag_mit/100,IF(AX28&gt;0,AX28*Zuschläge_Sa/100,IF(AY28&gt;0,AY28*Zuschlag_So/100,0))))</f>
        <v>0</v>
      </c>
      <c r="BB28" s="82">
        <f>IF(AND(B28&lt;&gt;0,G28=Voreinstellung_Übersicht!$D$41),IF(EG=1,W28*Über_klein/100,IF(EG=2,W28*Über_groß/100,"Fehler")),0)</f>
        <v>0</v>
      </c>
      <c r="BC28" s="299">
        <f t="shared" ca="1" si="41"/>
        <v>0</v>
      </c>
      <c r="BD28" s="219">
        <f t="shared" ca="1" si="37"/>
        <v>1</v>
      </c>
      <c r="BE28" s="303">
        <f ca="1">IF(B28="","",INDIRECT(ADDRESS(MATCH(B28,Soll_AZ,1)+MATCH("Arbeitszeit 1 ab",Voreinstellung_Übersicht!B:B,0)-1,4,,,"Voreinstellung_Übersicht"),TRUE))</f>
        <v>1.6666666666666665</v>
      </c>
      <c r="BF28" s="1">
        <f t="shared" si="42"/>
        <v>0</v>
      </c>
    </row>
    <row r="29" spans="1:58" s="1" customFormat="1" ht="15" x14ac:dyDescent="0.3">
      <c r="A29" s="218">
        <f t="shared" si="0"/>
        <v>21</v>
      </c>
      <c r="B29" s="47">
        <f t="shared" si="38"/>
        <v>42145</v>
      </c>
      <c r="C29" s="219">
        <f t="shared" si="1"/>
        <v>1</v>
      </c>
      <c r="D29" s="220" t="str">
        <f t="shared" si="2"/>
        <v/>
      </c>
      <c r="E29" s="298" t="str">
        <f t="shared" si="3"/>
        <v/>
      </c>
      <c r="F29" s="87">
        <f t="shared" si="4"/>
        <v>42145</v>
      </c>
      <c r="G29" s="147"/>
      <c r="H29" s="74"/>
      <c r="I29" s="75"/>
      <c r="J29" s="221">
        <f t="shared" si="5"/>
        <v>0</v>
      </c>
      <c r="K29" s="76"/>
      <c r="L29" s="221">
        <f t="shared" si="43"/>
        <v>0</v>
      </c>
      <c r="M29" s="74"/>
      <c r="N29" s="75"/>
      <c r="O29" s="221">
        <f t="shared" si="6"/>
        <v>0</v>
      </c>
      <c r="P29" s="76"/>
      <c r="Q29" s="221">
        <f t="shared" si="44"/>
        <v>0</v>
      </c>
      <c r="R29" s="221">
        <f t="shared" si="45"/>
        <v>0</v>
      </c>
      <c r="S29" s="221">
        <f t="shared" si="7"/>
        <v>0</v>
      </c>
      <c r="T29" s="79">
        <f t="shared" si="8"/>
        <v>0</v>
      </c>
      <c r="U29" s="79">
        <f t="shared" si="39"/>
        <v>0</v>
      </c>
      <c r="V29" s="80">
        <f t="shared" ca="1" si="9"/>
        <v>0.33333333329999998</v>
      </c>
      <c r="W29" s="249" t="str">
        <f t="shared" ca="1" si="10"/>
        <v/>
      </c>
      <c r="X29" s="293"/>
      <c r="Y29" s="221">
        <f t="shared" si="11"/>
        <v>0</v>
      </c>
      <c r="Z29" s="299">
        <f ca="1">IF(B29="","",INDIRECT(ADDRESS(MATCH(B29,Soll_AZ,1)+MATCH("Arbeitszeit 1 ab",Voreinstellung_Übersicht!B:B,0)-1,WEEKDAY(B29,2)+4,,,"Voreinstellung_Übersicht"),TRUE))</f>
        <v>0.33333333333333331</v>
      </c>
      <c r="AA29" s="300">
        <f t="shared" ca="1" si="40"/>
        <v>0</v>
      </c>
      <c r="AB29" s="219">
        <f t="shared" si="12"/>
        <v>0</v>
      </c>
      <c r="AC29" s="219">
        <f t="shared" si="13"/>
        <v>0</v>
      </c>
      <c r="AD29" s="219">
        <f t="shared" si="14"/>
        <v>0</v>
      </c>
      <c r="AE29" s="219">
        <f t="shared" si="15"/>
        <v>0</v>
      </c>
      <c r="AF29" s="219">
        <f t="shared" si="16"/>
        <v>0</v>
      </c>
      <c r="AG29" s="219">
        <f t="shared" si="17"/>
        <v>0</v>
      </c>
      <c r="AH29" s="219">
        <f t="shared" si="18"/>
        <v>0</v>
      </c>
      <c r="AI29" s="219">
        <f t="shared" si="19"/>
        <v>0</v>
      </c>
      <c r="AJ29" s="219">
        <f t="shared" si="20"/>
        <v>0</v>
      </c>
      <c r="AK29" s="219">
        <f t="shared" si="21"/>
        <v>0</v>
      </c>
      <c r="AL29" s="219">
        <f t="shared" si="22"/>
        <v>0</v>
      </c>
      <c r="AM29" s="219">
        <f t="shared" si="23"/>
        <v>0</v>
      </c>
      <c r="AN29" s="301">
        <f t="shared" si="24"/>
        <v>0</v>
      </c>
      <c r="AO29" s="301">
        <f t="shared" si="25"/>
        <v>0</v>
      </c>
      <c r="AP29" s="301">
        <f t="shared" si="26"/>
        <v>0</v>
      </c>
      <c r="AQ29" s="301">
        <f t="shared" si="27"/>
        <v>0</v>
      </c>
      <c r="AR29" s="301">
        <f t="shared" si="28"/>
        <v>0</v>
      </c>
      <c r="AS29" s="301">
        <f t="shared" si="29"/>
        <v>0</v>
      </c>
      <c r="AT29" s="302">
        <f t="shared" si="30"/>
        <v>0</v>
      </c>
      <c r="AU29" s="302">
        <f t="shared" si="31"/>
        <v>0</v>
      </c>
      <c r="AV29" s="81">
        <f t="shared" si="32"/>
        <v>0</v>
      </c>
      <c r="AW29" s="82">
        <f t="shared" si="33"/>
        <v>0</v>
      </c>
      <c r="AX29" s="81">
        <f t="shared" si="34"/>
        <v>0</v>
      </c>
      <c r="AY29" s="83">
        <f t="shared" si="35"/>
        <v>0</v>
      </c>
      <c r="AZ29" s="83">
        <f t="shared" si="36"/>
        <v>0</v>
      </c>
      <c r="BA29" s="82">
        <f>IF(OR(B29=Feiertage!$A$16,B29=Feiertage!$A$19),U29*Zuschläge_24_31/100,IF(AZ29&gt;0,AZ29*Feiertag_mit/100,IF(AX29&gt;0,AX29*Zuschläge_Sa/100,IF(AY29&gt;0,AY29*Zuschlag_So/100,0))))</f>
        <v>0</v>
      </c>
      <c r="BB29" s="82">
        <f>IF(AND(B29&lt;&gt;0,G29=Voreinstellung_Übersicht!$D$41),IF(EG=1,W29*Über_klein/100,IF(EG=2,W29*Über_groß/100,"Fehler")),0)</f>
        <v>0</v>
      </c>
      <c r="BC29" s="299">
        <f t="shared" ca="1" si="41"/>
        <v>0</v>
      </c>
      <c r="BD29" s="219">
        <f t="shared" ca="1" si="37"/>
        <v>1</v>
      </c>
      <c r="BE29" s="303">
        <f ca="1">IF(B29="","",INDIRECT(ADDRESS(MATCH(B29,Soll_AZ,1)+MATCH("Arbeitszeit 1 ab",Voreinstellung_Übersicht!B:B,0)-1,4,,,"Voreinstellung_Übersicht"),TRUE))</f>
        <v>1.6666666666666665</v>
      </c>
      <c r="BF29" s="1">
        <f t="shared" si="42"/>
        <v>0</v>
      </c>
    </row>
    <row r="30" spans="1:58" s="1" customFormat="1" ht="15" x14ac:dyDescent="0.3">
      <c r="A30" s="218">
        <f t="shared" si="0"/>
        <v>21</v>
      </c>
      <c r="B30" s="47">
        <f t="shared" si="38"/>
        <v>42146</v>
      </c>
      <c r="C30" s="219">
        <f t="shared" si="1"/>
        <v>1</v>
      </c>
      <c r="D30" s="220" t="str">
        <f t="shared" si="2"/>
        <v/>
      </c>
      <c r="E30" s="298" t="str">
        <f t="shared" si="3"/>
        <v/>
      </c>
      <c r="F30" s="87">
        <f t="shared" si="4"/>
        <v>42146</v>
      </c>
      <c r="G30" s="147"/>
      <c r="H30" s="74"/>
      <c r="I30" s="75"/>
      <c r="J30" s="221">
        <f t="shared" si="5"/>
        <v>0</v>
      </c>
      <c r="K30" s="76"/>
      <c r="L30" s="221">
        <f t="shared" si="43"/>
        <v>0</v>
      </c>
      <c r="M30" s="74"/>
      <c r="N30" s="75"/>
      <c r="O30" s="221">
        <f t="shared" si="6"/>
        <v>0</v>
      </c>
      <c r="P30" s="76"/>
      <c r="Q30" s="221">
        <f t="shared" si="44"/>
        <v>0</v>
      </c>
      <c r="R30" s="221">
        <f t="shared" si="45"/>
        <v>0</v>
      </c>
      <c r="S30" s="221">
        <f t="shared" si="7"/>
        <v>0</v>
      </c>
      <c r="T30" s="79">
        <f t="shared" si="8"/>
        <v>0</v>
      </c>
      <c r="U30" s="79">
        <f t="shared" si="39"/>
        <v>0</v>
      </c>
      <c r="V30" s="80">
        <f t="shared" ca="1" si="9"/>
        <v>0.33333333329999998</v>
      </c>
      <c r="W30" s="249" t="str">
        <f t="shared" ca="1" si="10"/>
        <v/>
      </c>
      <c r="X30" s="293"/>
      <c r="Y30" s="221">
        <f t="shared" si="11"/>
        <v>0</v>
      </c>
      <c r="Z30" s="299">
        <f ca="1">IF(B30="","",INDIRECT(ADDRESS(MATCH(B30,Soll_AZ,1)+MATCH("Arbeitszeit 1 ab",Voreinstellung_Übersicht!B:B,0)-1,WEEKDAY(B30,2)+4,,,"Voreinstellung_Übersicht"),TRUE))</f>
        <v>0.33333333333333331</v>
      </c>
      <c r="AA30" s="300">
        <f t="shared" ca="1" si="40"/>
        <v>0</v>
      </c>
      <c r="AB30" s="219">
        <f t="shared" si="12"/>
        <v>0</v>
      </c>
      <c r="AC30" s="219">
        <f t="shared" si="13"/>
        <v>0</v>
      </c>
      <c r="AD30" s="219">
        <f t="shared" si="14"/>
        <v>0</v>
      </c>
      <c r="AE30" s="219">
        <f t="shared" si="15"/>
        <v>0</v>
      </c>
      <c r="AF30" s="219">
        <f t="shared" si="16"/>
        <v>0</v>
      </c>
      <c r="AG30" s="219">
        <f t="shared" si="17"/>
        <v>0</v>
      </c>
      <c r="AH30" s="219">
        <f t="shared" si="18"/>
        <v>0</v>
      </c>
      <c r="AI30" s="219">
        <f t="shared" si="19"/>
        <v>0</v>
      </c>
      <c r="AJ30" s="219">
        <f t="shared" si="20"/>
        <v>0</v>
      </c>
      <c r="AK30" s="219">
        <f t="shared" si="21"/>
        <v>0</v>
      </c>
      <c r="AL30" s="219">
        <f t="shared" si="22"/>
        <v>0</v>
      </c>
      <c r="AM30" s="219">
        <f t="shared" si="23"/>
        <v>0</v>
      </c>
      <c r="AN30" s="301">
        <f t="shared" si="24"/>
        <v>0</v>
      </c>
      <c r="AO30" s="301">
        <f t="shared" si="25"/>
        <v>0</v>
      </c>
      <c r="AP30" s="301">
        <f t="shared" si="26"/>
        <v>0</v>
      </c>
      <c r="AQ30" s="301">
        <f t="shared" si="27"/>
        <v>0</v>
      </c>
      <c r="AR30" s="301">
        <f t="shared" si="28"/>
        <v>0</v>
      </c>
      <c r="AS30" s="301">
        <f t="shared" si="29"/>
        <v>0</v>
      </c>
      <c r="AT30" s="302">
        <f t="shared" si="30"/>
        <v>0</v>
      </c>
      <c r="AU30" s="302">
        <f t="shared" si="31"/>
        <v>0</v>
      </c>
      <c r="AV30" s="81">
        <f t="shared" si="32"/>
        <v>0</v>
      </c>
      <c r="AW30" s="82">
        <f t="shared" si="33"/>
        <v>0</v>
      </c>
      <c r="AX30" s="81">
        <f t="shared" si="34"/>
        <v>0</v>
      </c>
      <c r="AY30" s="83">
        <f t="shared" si="35"/>
        <v>0</v>
      </c>
      <c r="AZ30" s="83">
        <f t="shared" si="36"/>
        <v>0</v>
      </c>
      <c r="BA30" s="82">
        <f>IF(OR(B30=Feiertage!$A$16,B30=Feiertage!$A$19),U30*Zuschläge_24_31/100,IF(AZ30&gt;0,AZ30*Feiertag_mit/100,IF(AX30&gt;0,AX30*Zuschläge_Sa/100,IF(AY30&gt;0,AY30*Zuschlag_So/100,0))))</f>
        <v>0</v>
      </c>
      <c r="BB30" s="82">
        <f>IF(AND(B30&lt;&gt;0,G30=Voreinstellung_Übersicht!$D$41),IF(EG=1,W30*Über_klein/100,IF(EG=2,W30*Über_groß/100,"Fehler")),0)</f>
        <v>0</v>
      </c>
      <c r="BC30" s="299">
        <f t="shared" ca="1" si="41"/>
        <v>0</v>
      </c>
      <c r="BD30" s="219">
        <f t="shared" ca="1" si="37"/>
        <v>1</v>
      </c>
      <c r="BE30" s="303">
        <f ca="1">IF(B30="","",INDIRECT(ADDRESS(MATCH(B30,Soll_AZ,1)+MATCH("Arbeitszeit 1 ab",Voreinstellung_Übersicht!B:B,0)-1,4,,,"Voreinstellung_Übersicht"),TRUE))</f>
        <v>1.6666666666666665</v>
      </c>
      <c r="BF30" s="1">
        <f t="shared" si="42"/>
        <v>0</v>
      </c>
    </row>
    <row r="31" spans="1:58" s="1" customFormat="1" ht="15" x14ac:dyDescent="0.3">
      <c r="A31" s="218">
        <f t="shared" si="0"/>
        <v>21</v>
      </c>
      <c r="B31" s="47">
        <f t="shared" si="38"/>
        <v>42147</v>
      </c>
      <c r="C31" s="219">
        <f t="shared" si="1"/>
        <v>1</v>
      </c>
      <c r="D31" s="220" t="str">
        <f t="shared" si="2"/>
        <v/>
      </c>
      <c r="E31" s="298" t="str">
        <f t="shared" si="3"/>
        <v/>
      </c>
      <c r="F31" s="87">
        <f t="shared" si="4"/>
        <v>42147</v>
      </c>
      <c r="G31" s="147"/>
      <c r="H31" s="74"/>
      <c r="I31" s="75"/>
      <c r="J31" s="221">
        <f t="shared" si="5"/>
        <v>0</v>
      </c>
      <c r="K31" s="76"/>
      <c r="L31" s="221">
        <f t="shared" si="43"/>
        <v>0</v>
      </c>
      <c r="M31" s="74"/>
      <c r="N31" s="75"/>
      <c r="O31" s="221">
        <f t="shared" si="6"/>
        <v>0</v>
      </c>
      <c r="P31" s="76"/>
      <c r="Q31" s="221">
        <f t="shared" si="44"/>
        <v>0</v>
      </c>
      <c r="R31" s="221">
        <f t="shared" si="45"/>
        <v>0</v>
      </c>
      <c r="S31" s="221">
        <f t="shared" si="7"/>
        <v>0</v>
      </c>
      <c r="T31" s="79">
        <f t="shared" si="8"/>
        <v>0</v>
      </c>
      <c r="U31" s="79">
        <f t="shared" si="39"/>
        <v>0</v>
      </c>
      <c r="V31" s="80">
        <f t="shared" ca="1" si="9"/>
        <v>0.33333333329999998</v>
      </c>
      <c r="W31" s="249" t="str">
        <f t="shared" ca="1" si="10"/>
        <v/>
      </c>
      <c r="X31" s="293"/>
      <c r="Y31" s="221">
        <f t="shared" si="11"/>
        <v>0</v>
      </c>
      <c r="Z31" s="299">
        <f ca="1">IF(B31="","",INDIRECT(ADDRESS(MATCH(B31,Soll_AZ,1)+MATCH("Arbeitszeit 1 ab",Voreinstellung_Übersicht!B:B,0)-1,WEEKDAY(B31,2)+4,,,"Voreinstellung_Übersicht"),TRUE))</f>
        <v>0.33333333333333331</v>
      </c>
      <c r="AA31" s="300">
        <f t="shared" ca="1" si="40"/>
        <v>0</v>
      </c>
      <c r="AB31" s="219">
        <f t="shared" si="12"/>
        <v>0</v>
      </c>
      <c r="AC31" s="219">
        <f t="shared" si="13"/>
        <v>0</v>
      </c>
      <c r="AD31" s="219">
        <f t="shared" si="14"/>
        <v>0</v>
      </c>
      <c r="AE31" s="219">
        <f t="shared" si="15"/>
        <v>0</v>
      </c>
      <c r="AF31" s="219">
        <f t="shared" si="16"/>
        <v>0</v>
      </c>
      <c r="AG31" s="219">
        <f t="shared" si="17"/>
        <v>0</v>
      </c>
      <c r="AH31" s="219">
        <f t="shared" si="18"/>
        <v>0</v>
      </c>
      <c r="AI31" s="219">
        <f t="shared" si="19"/>
        <v>0</v>
      </c>
      <c r="AJ31" s="219">
        <f t="shared" si="20"/>
        <v>0</v>
      </c>
      <c r="AK31" s="219">
        <f t="shared" si="21"/>
        <v>0</v>
      </c>
      <c r="AL31" s="219">
        <f t="shared" si="22"/>
        <v>0</v>
      </c>
      <c r="AM31" s="219">
        <f t="shared" si="23"/>
        <v>0</v>
      </c>
      <c r="AN31" s="301">
        <f t="shared" si="24"/>
        <v>0</v>
      </c>
      <c r="AO31" s="301">
        <f t="shared" si="25"/>
        <v>0</v>
      </c>
      <c r="AP31" s="301">
        <f t="shared" si="26"/>
        <v>0</v>
      </c>
      <c r="AQ31" s="301">
        <f t="shared" si="27"/>
        <v>0</v>
      </c>
      <c r="AR31" s="301">
        <f t="shared" si="28"/>
        <v>0</v>
      </c>
      <c r="AS31" s="301">
        <f t="shared" si="29"/>
        <v>0</v>
      </c>
      <c r="AT31" s="302">
        <f t="shared" si="30"/>
        <v>0</v>
      </c>
      <c r="AU31" s="302">
        <f t="shared" si="31"/>
        <v>0</v>
      </c>
      <c r="AV31" s="81">
        <f t="shared" si="32"/>
        <v>0</v>
      </c>
      <c r="AW31" s="82">
        <f t="shared" si="33"/>
        <v>0</v>
      </c>
      <c r="AX31" s="81">
        <f t="shared" si="34"/>
        <v>0</v>
      </c>
      <c r="AY31" s="83">
        <f t="shared" si="35"/>
        <v>0</v>
      </c>
      <c r="AZ31" s="83">
        <f t="shared" si="36"/>
        <v>0</v>
      </c>
      <c r="BA31" s="82">
        <f>IF(OR(B31=Feiertage!$A$16,B31=Feiertage!$A$19),U31*Zuschläge_24_31/100,IF(AZ31&gt;0,AZ31*Feiertag_mit/100,IF(AX31&gt;0,AX31*Zuschläge_Sa/100,IF(AY31&gt;0,AY31*Zuschlag_So/100,0))))</f>
        <v>0</v>
      </c>
      <c r="BB31" s="82">
        <f>IF(AND(B31&lt;&gt;0,G31=Voreinstellung_Übersicht!$D$41),IF(EG=1,W31*Über_klein/100,IF(EG=2,W31*Über_groß/100,"Fehler")),0)</f>
        <v>0</v>
      </c>
      <c r="BC31" s="299">
        <f t="shared" ca="1" si="41"/>
        <v>0</v>
      </c>
      <c r="BD31" s="219">
        <f t="shared" ca="1" si="37"/>
        <v>1</v>
      </c>
      <c r="BE31" s="303">
        <f ca="1">IF(B31="","",INDIRECT(ADDRESS(MATCH(B31,Soll_AZ,1)+MATCH("Arbeitszeit 1 ab",Voreinstellung_Übersicht!B:B,0)-1,4,,,"Voreinstellung_Übersicht"),TRUE))</f>
        <v>1.6666666666666665</v>
      </c>
      <c r="BF31" s="1">
        <f t="shared" si="42"/>
        <v>0</v>
      </c>
    </row>
    <row r="32" spans="1:58" s="1" customFormat="1" ht="15" x14ac:dyDescent="0.3">
      <c r="A32" s="218">
        <f t="shared" si="0"/>
        <v>21</v>
      </c>
      <c r="B32" s="47">
        <f t="shared" si="38"/>
        <v>42148</v>
      </c>
      <c r="C32" s="219">
        <f t="shared" si="1"/>
        <v>0</v>
      </c>
      <c r="D32" s="220" t="str">
        <f t="shared" si="2"/>
        <v/>
      </c>
      <c r="E32" s="298" t="str">
        <f t="shared" si="3"/>
        <v/>
      </c>
      <c r="F32" s="87">
        <f t="shared" si="4"/>
        <v>42148</v>
      </c>
      <c r="G32" s="147"/>
      <c r="H32" s="74"/>
      <c r="I32" s="75"/>
      <c r="J32" s="221">
        <f t="shared" si="5"/>
        <v>0</v>
      </c>
      <c r="K32" s="76"/>
      <c r="L32" s="221">
        <f t="shared" si="43"/>
        <v>0</v>
      </c>
      <c r="M32" s="74"/>
      <c r="N32" s="75"/>
      <c r="O32" s="221">
        <f t="shared" si="6"/>
        <v>0</v>
      </c>
      <c r="P32" s="76"/>
      <c r="Q32" s="221">
        <f t="shared" si="44"/>
        <v>0</v>
      </c>
      <c r="R32" s="221">
        <f t="shared" si="45"/>
        <v>0</v>
      </c>
      <c r="S32" s="221">
        <f t="shared" si="7"/>
        <v>0</v>
      </c>
      <c r="T32" s="79">
        <f t="shared" si="8"/>
        <v>0</v>
      </c>
      <c r="U32" s="79">
        <f t="shared" si="39"/>
        <v>0</v>
      </c>
      <c r="V32" s="80">
        <f t="shared" ca="1" si="9"/>
        <v>0</v>
      </c>
      <c r="W32" s="249" t="str">
        <f t="shared" ca="1" si="10"/>
        <v/>
      </c>
      <c r="X32" s="293"/>
      <c r="Y32" s="221">
        <f t="shared" si="11"/>
        <v>0</v>
      </c>
      <c r="Z32" s="299">
        <f ca="1">IF(B32="","",INDIRECT(ADDRESS(MATCH(B32,Soll_AZ,1)+MATCH("Arbeitszeit 1 ab",Voreinstellung_Übersicht!B:B,0)-1,WEEKDAY(B32,2)+4,,,"Voreinstellung_Übersicht"),TRUE))</f>
        <v>0</v>
      </c>
      <c r="AA32" s="300">
        <f t="shared" ca="1" si="40"/>
        <v>0</v>
      </c>
      <c r="AB32" s="219">
        <f t="shared" si="12"/>
        <v>0</v>
      </c>
      <c r="AC32" s="219">
        <f t="shared" si="13"/>
        <v>0</v>
      </c>
      <c r="AD32" s="219">
        <f t="shared" si="14"/>
        <v>0</v>
      </c>
      <c r="AE32" s="219">
        <f t="shared" si="15"/>
        <v>0</v>
      </c>
      <c r="AF32" s="219">
        <f t="shared" si="16"/>
        <v>0</v>
      </c>
      <c r="AG32" s="219">
        <f t="shared" si="17"/>
        <v>0</v>
      </c>
      <c r="AH32" s="219">
        <f t="shared" si="18"/>
        <v>0</v>
      </c>
      <c r="AI32" s="219">
        <f t="shared" si="19"/>
        <v>0</v>
      </c>
      <c r="AJ32" s="219">
        <f t="shared" si="20"/>
        <v>0</v>
      </c>
      <c r="AK32" s="219">
        <f t="shared" si="21"/>
        <v>0</v>
      </c>
      <c r="AL32" s="219">
        <f t="shared" si="22"/>
        <v>0</v>
      </c>
      <c r="AM32" s="219">
        <f t="shared" si="23"/>
        <v>0</v>
      </c>
      <c r="AN32" s="301">
        <f t="shared" si="24"/>
        <v>0</v>
      </c>
      <c r="AO32" s="301">
        <f t="shared" si="25"/>
        <v>0</v>
      </c>
      <c r="AP32" s="301">
        <f t="shared" si="26"/>
        <v>0</v>
      </c>
      <c r="AQ32" s="301">
        <f t="shared" si="27"/>
        <v>0</v>
      </c>
      <c r="AR32" s="301">
        <f t="shared" si="28"/>
        <v>0</v>
      </c>
      <c r="AS32" s="301">
        <f t="shared" si="29"/>
        <v>0</v>
      </c>
      <c r="AT32" s="302">
        <f t="shared" si="30"/>
        <v>0</v>
      </c>
      <c r="AU32" s="302">
        <f t="shared" si="31"/>
        <v>0</v>
      </c>
      <c r="AV32" s="81">
        <f t="shared" si="32"/>
        <v>0</v>
      </c>
      <c r="AW32" s="82">
        <f t="shared" si="33"/>
        <v>0</v>
      </c>
      <c r="AX32" s="81">
        <f t="shared" si="34"/>
        <v>0</v>
      </c>
      <c r="AY32" s="83">
        <f t="shared" si="35"/>
        <v>0</v>
      </c>
      <c r="AZ32" s="83">
        <f t="shared" si="36"/>
        <v>0</v>
      </c>
      <c r="BA32" s="82">
        <f>IF(OR(B32=Feiertage!$A$16,B32=Feiertage!$A$19),U32*Zuschläge_24_31/100,IF(AZ32&gt;0,AZ32*Feiertag_mit/100,IF(AX32&gt;0,AX32*Zuschläge_Sa/100,IF(AY32&gt;0,AY32*Zuschlag_So/100,0))))</f>
        <v>0</v>
      </c>
      <c r="BB32" s="82">
        <f>IF(AND(B32&lt;&gt;0,G32=Voreinstellung_Übersicht!$D$41),IF(EG=1,W32*Über_klein/100,IF(EG=2,W32*Über_groß/100,"Fehler")),0)</f>
        <v>0</v>
      </c>
      <c r="BC32" s="299">
        <f t="shared" ca="1" si="41"/>
        <v>0</v>
      </c>
      <c r="BD32" s="219">
        <f t="shared" ca="1" si="37"/>
        <v>1</v>
      </c>
      <c r="BE32" s="303">
        <f ca="1">IF(B32="","",INDIRECT(ADDRESS(MATCH(B32,Soll_AZ,1)+MATCH("Arbeitszeit 1 ab",Voreinstellung_Übersicht!B:B,0)-1,4,,,"Voreinstellung_Übersicht"),TRUE))</f>
        <v>1.6666666666666665</v>
      </c>
      <c r="BF32" s="1">
        <f t="shared" si="42"/>
        <v>0</v>
      </c>
    </row>
    <row r="33" spans="1:104" s="1" customFormat="1" ht="15" x14ac:dyDescent="0.3">
      <c r="A33" s="218">
        <f t="shared" si="0"/>
        <v>22</v>
      </c>
      <c r="B33" s="47">
        <f t="shared" si="38"/>
        <v>42149</v>
      </c>
      <c r="C33" s="219">
        <f t="shared" si="1"/>
        <v>0</v>
      </c>
      <c r="D33" s="220" t="str">
        <f t="shared" si="2"/>
        <v/>
      </c>
      <c r="E33" s="298" t="str">
        <f t="shared" si="3"/>
        <v/>
      </c>
      <c r="F33" s="87">
        <f t="shared" si="4"/>
        <v>42149</v>
      </c>
      <c r="G33" s="147"/>
      <c r="H33" s="74"/>
      <c r="I33" s="75"/>
      <c r="J33" s="221">
        <f t="shared" si="5"/>
        <v>0</v>
      </c>
      <c r="K33" s="76"/>
      <c r="L33" s="221">
        <f t="shared" si="43"/>
        <v>0</v>
      </c>
      <c r="M33" s="74"/>
      <c r="N33" s="75"/>
      <c r="O33" s="221">
        <f t="shared" si="6"/>
        <v>0</v>
      </c>
      <c r="P33" s="76"/>
      <c r="Q33" s="221">
        <f t="shared" si="44"/>
        <v>0</v>
      </c>
      <c r="R33" s="221">
        <f t="shared" si="45"/>
        <v>0</v>
      </c>
      <c r="S33" s="221">
        <f t="shared" si="7"/>
        <v>0</v>
      </c>
      <c r="T33" s="79">
        <f t="shared" si="8"/>
        <v>0</v>
      </c>
      <c r="U33" s="79">
        <f t="shared" si="39"/>
        <v>0</v>
      </c>
      <c r="V33" s="80">
        <f t="shared" ca="1" si="9"/>
        <v>0</v>
      </c>
      <c r="W33" s="249" t="str">
        <f t="shared" ca="1" si="10"/>
        <v/>
      </c>
      <c r="X33" s="293"/>
      <c r="Y33" s="221">
        <f t="shared" si="11"/>
        <v>0</v>
      </c>
      <c r="Z33" s="299">
        <f ca="1">IF(B33="","",INDIRECT(ADDRESS(MATCH(B33,Soll_AZ,1)+MATCH("Arbeitszeit 1 ab",Voreinstellung_Übersicht!B:B,0)-1,WEEKDAY(B33,2)+4,,,"Voreinstellung_Übersicht"),TRUE))</f>
        <v>0</v>
      </c>
      <c r="AA33" s="300">
        <f t="shared" ca="1" si="40"/>
        <v>0</v>
      </c>
      <c r="AB33" s="219">
        <f t="shared" si="12"/>
        <v>0</v>
      </c>
      <c r="AC33" s="219">
        <f t="shared" si="13"/>
        <v>0</v>
      </c>
      <c r="AD33" s="219">
        <f t="shared" si="14"/>
        <v>0</v>
      </c>
      <c r="AE33" s="219">
        <f t="shared" si="15"/>
        <v>0</v>
      </c>
      <c r="AF33" s="219">
        <f t="shared" si="16"/>
        <v>0</v>
      </c>
      <c r="AG33" s="219">
        <f t="shared" si="17"/>
        <v>0</v>
      </c>
      <c r="AH33" s="219">
        <f t="shared" si="18"/>
        <v>0</v>
      </c>
      <c r="AI33" s="219">
        <f t="shared" si="19"/>
        <v>0</v>
      </c>
      <c r="AJ33" s="219">
        <f t="shared" si="20"/>
        <v>0</v>
      </c>
      <c r="AK33" s="219">
        <f t="shared" si="21"/>
        <v>0</v>
      </c>
      <c r="AL33" s="219">
        <f t="shared" si="22"/>
        <v>0</v>
      </c>
      <c r="AM33" s="219">
        <f t="shared" si="23"/>
        <v>0</v>
      </c>
      <c r="AN33" s="301">
        <f t="shared" si="24"/>
        <v>0</v>
      </c>
      <c r="AO33" s="301">
        <f t="shared" si="25"/>
        <v>0</v>
      </c>
      <c r="AP33" s="301">
        <f t="shared" si="26"/>
        <v>0</v>
      </c>
      <c r="AQ33" s="301">
        <f t="shared" si="27"/>
        <v>0</v>
      </c>
      <c r="AR33" s="301">
        <f t="shared" si="28"/>
        <v>0</v>
      </c>
      <c r="AS33" s="301">
        <f t="shared" si="29"/>
        <v>0</v>
      </c>
      <c r="AT33" s="302">
        <f t="shared" si="30"/>
        <v>0</v>
      </c>
      <c r="AU33" s="302">
        <f t="shared" si="31"/>
        <v>0</v>
      </c>
      <c r="AV33" s="81">
        <f t="shared" si="32"/>
        <v>0</v>
      </c>
      <c r="AW33" s="82">
        <f t="shared" si="33"/>
        <v>0</v>
      </c>
      <c r="AX33" s="81">
        <f t="shared" si="34"/>
        <v>0</v>
      </c>
      <c r="AY33" s="83">
        <f t="shared" si="35"/>
        <v>0</v>
      </c>
      <c r="AZ33" s="83">
        <f t="shared" si="36"/>
        <v>0</v>
      </c>
      <c r="BA33" s="82">
        <f>IF(OR(B33=Feiertage!$A$16,B33=Feiertage!$A$19),U33*Zuschläge_24_31/100,IF(AZ33&gt;0,AZ33*Feiertag_mit/100,IF(AX33&gt;0,AX33*Zuschläge_Sa/100,IF(AY33&gt;0,AY33*Zuschlag_So/100,0))))</f>
        <v>0</v>
      </c>
      <c r="BB33" s="82">
        <f>IF(AND(B33&lt;&gt;0,G33=Voreinstellung_Übersicht!$D$41),IF(EG=1,W33*Über_klein/100,IF(EG=2,W33*Über_groß/100,"Fehler")),0)</f>
        <v>0</v>
      </c>
      <c r="BC33" s="299">
        <f t="shared" ca="1" si="41"/>
        <v>0</v>
      </c>
      <c r="BD33" s="219">
        <f t="shared" ca="1" si="37"/>
        <v>1</v>
      </c>
      <c r="BE33" s="303">
        <f ca="1">IF(B33="","",INDIRECT(ADDRESS(MATCH(B33,Soll_AZ,1)+MATCH("Arbeitszeit 1 ab",Voreinstellung_Übersicht!B:B,0)-1,4,,,"Voreinstellung_Übersicht"),TRUE))</f>
        <v>1.6666666666666665</v>
      </c>
      <c r="BF33" s="1">
        <f t="shared" si="42"/>
        <v>0</v>
      </c>
    </row>
    <row r="34" spans="1:104" s="1" customFormat="1" ht="15" x14ac:dyDescent="0.3">
      <c r="A34" s="218">
        <f t="shared" si="0"/>
        <v>22</v>
      </c>
      <c r="B34" s="47">
        <f t="shared" si="38"/>
        <v>42150</v>
      </c>
      <c r="C34" s="219">
        <f t="shared" si="1"/>
        <v>1</v>
      </c>
      <c r="D34" s="220" t="str">
        <f t="shared" si="2"/>
        <v/>
      </c>
      <c r="E34" s="298" t="str">
        <f t="shared" si="3"/>
        <v/>
      </c>
      <c r="F34" s="87">
        <f t="shared" si="4"/>
        <v>42150</v>
      </c>
      <c r="G34" s="147"/>
      <c r="H34" s="74"/>
      <c r="I34" s="75"/>
      <c r="J34" s="221">
        <f t="shared" si="5"/>
        <v>0</v>
      </c>
      <c r="K34" s="76"/>
      <c r="L34" s="221">
        <f t="shared" si="43"/>
        <v>0</v>
      </c>
      <c r="M34" s="74"/>
      <c r="N34" s="75"/>
      <c r="O34" s="221">
        <f t="shared" si="6"/>
        <v>0</v>
      </c>
      <c r="P34" s="76"/>
      <c r="Q34" s="221">
        <f t="shared" si="44"/>
        <v>0</v>
      </c>
      <c r="R34" s="221">
        <f t="shared" si="45"/>
        <v>0</v>
      </c>
      <c r="S34" s="221">
        <f t="shared" si="7"/>
        <v>0</v>
      </c>
      <c r="T34" s="79">
        <f t="shared" si="8"/>
        <v>0</v>
      </c>
      <c r="U34" s="79">
        <f t="shared" si="39"/>
        <v>0</v>
      </c>
      <c r="V34" s="80">
        <f t="shared" ca="1" si="9"/>
        <v>0.33333333329999998</v>
      </c>
      <c r="W34" s="249" t="str">
        <f t="shared" ca="1" si="10"/>
        <v/>
      </c>
      <c r="X34" s="293"/>
      <c r="Y34" s="221">
        <f t="shared" si="11"/>
        <v>0</v>
      </c>
      <c r="Z34" s="299">
        <f ca="1">IF(B34="","",INDIRECT(ADDRESS(MATCH(B34,Soll_AZ,1)+MATCH("Arbeitszeit 1 ab",Voreinstellung_Übersicht!B:B,0)-1,WEEKDAY(B34,2)+4,,,"Voreinstellung_Übersicht"),TRUE))</f>
        <v>0.33333333333333331</v>
      </c>
      <c r="AA34" s="300">
        <f t="shared" ca="1" si="40"/>
        <v>0</v>
      </c>
      <c r="AB34" s="219">
        <f t="shared" si="12"/>
        <v>0</v>
      </c>
      <c r="AC34" s="219">
        <f t="shared" si="13"/>
        <v>0</v>
      </c>
      <c r="AD34" s="219">
        <f t="shared" si="14"/>
        <v>0</v>
      </c>
      <c r="AE34" s="219">
        <f t="shared" si="15"/>
        <v>0</v>
      </c>
      <c r="AF34" s="219">
        <f t="shared" si="16"/>
        <v>0</v>
      </c>
      <c r="AG34" s="219">
        <f t="shared" si="17"/>
        <v>0</v>
      </c>
      <c r="AH34" s="219">
        <f t="shared" si="18"/>
        <v>0</v>
      </c>
      <c r="AI34" s="219">
        <f t="shared" si="19"/>
        <v>0</v>
      </c>
      <c r="AJ34" s="219">
        <f t="shared" si="20"/>
        <v>0</v>
      </c>
      <c r="AK34" s="219">
        <f t="shared" si="21"/>
        <v>0</v>
      </c>
      <c r="AL34" s="219">
        <f t="shared" si="22"/>
        <v>0</v>
      </c>
      <c r="AM34" s="219">
        <f t="shared" si="23"/>
        <v>0</v>
      </c>
      <c r="AN34" s="301">
        <f t="shared" si="24"/>
        <v>0</v>
      </c>
      <c r="AO34" s="301">
        <f t="shared" si="25"/>
        <v>0</v>
      </c>
      <c r="AP34" s="301">
        <f t="shared" si="26"/>
        <v>0</v>
      </c>
      <c r="AQ34" s="301">
        <f t="shared" si="27"/>
        <v>0</v>
      </c>
      <c r="AR34" s="301">
        <f t="shared" si="28"/>
        <v>0</v>
      </c>
      <c r="AS34" s="301">
        <f t="shared" si="29"/>
        <v>0</v>
      </c>
      <c r="AT34" s="302">
        <f t="shared" si="30"/>
        <v>0</v>
      </c>
      <c r="AU34" s="302">
        <f t="shared" si="31"/>
        <v>0</v>
      </c>
      <c r="AV34" s="81">
        <f t="shared" si="32"/>
        <v>0</v>
      </c>
      <c r="AW34" s="82">
        <f t="shared" si="33"/>
        <v>0</v>
      </c>
      <c r="AX34" s="81">
        <f t="shared" si="34"/>
        <v>0</v>
      </c>
      <c r="AY34" s="83">
        <f t="shared" si="35"/>
        <v>0</v>
      </c>
      <c r="AZ34" s="83">
        <f t="shared" si="36"/>
        <v>0</v>
      </c>
      <c r="BA34" s="82">
        <f>IF(OR(B34=Feiertage!$A$16,B34=Feiertage!$A$19),U34*Zuschläge_24_31/100,IF(AZ34&gt;0,AZ34*Feiertag_mit/100,IF(AX34&gt;0,AX34*Zuschläge_Sa/100,IF(AY34&gt;0,AY34*Zuschlag_So/100,0))))</f>
        <v>0</v>
      </c>
      <c r="BB34" s="82">
        <f>IF(AND(B34&lt;&gt;0,G34=Voreinstellung_Übersicht!$D$41),IF(EG=1,W34*Über_klein/100,IF(EG=2,W34*Über_groß/100,"Fehler")),0)</f>
        <v>0</v>
      </c>
      <c r="BC34" s="299">
        <f t="shared" ca="1" si="41"/>
        <v>0</v>
      </c>
      <c r="BD34" s="219">
        <f t="shared" ca="1" si="37"/>
        <v>1</v>
      </c>
      <c r="BE34" s="303">
        <f ca="1">IF(B34="","",INDIRECT(ADDRESS(MATCH(B34,Soll_AZ,1)+MATCH("Arbeitszeit 1 ab",Voreinstellung_Übersicht!B:B,0)-1,4,,,"Voreinstellung_Übersicht"),TRUE))</f>
        <v>1.6666666666666665</v>
      </c>
      <c r="BF34" s="1">
        <f t="shared" si="42"/>
        <v>0</v>
      </c>
    </row>
    <row r="35" spans="1:104" s="1" customFormat="1" ht="15" x14ac:dyDescent="0.3">
      <c r="A35" s="218">
        <f t="shared" si="0"/>
        <v>22</v>
      </c>
      <c r="B35" s="47">
        <f t="shared" si="38"/>
        <v>42151</v>
      </c>
      <c r="C35" s="219">
        <f t="shared" si="1"/>
        <v>1</v>
      </c>
      <c r="D35" s="220" t="str">
        <f t="shared" si="2"/>
        <v/>
      </c>
      <c r="E35" s="298" t="str">
        <f t="shared" si="3"/>
        <v/>
      </c>
      <c r="F35" s="87">
        <f t="shared" si="4"/>
        <v>42151</v>
      </c>
      <c r="G35" s="147"/>
      <c r="H35" s="74"/>
      <c r="I35" s="75"/>
      <c r="J35" s="221">
        <f t="shared" si="5"/>
        <v>0</v>
      </c>
      <c r="K35" s="76"/>
      <c r="L35" s="221">
        <f t="shared" si="43"/>
        <v>0</v>
      </c>
      <c r="M35" s="74"/>
      <c r="N35" s="75"/>
      <c r="O35" s="221">
        <f t="shared" si="6"/>
        <v>0</v>
      </c>
      <c r="P35" s="76"/>
      <c r="Q35" s="221">
        <f t="shared" si="44"/>
        <v>0</v>
      </c>
      <c r="R35" s="221">
        <f t="shared" si="45"/>
        <v>0</v>
      </c>
      <c r="S35" s="221">
        <f t="shared" si="7"/>
        <v>0</v>
      </c>
      <c r="T35" s="79">
        <f t="shared" si="8"/>
        <v>0</v>
      </c>
      <c r="U35" s="79">
        <f t="shared" si="39"/>
        <v>0</v>
      </c>
      <c r="V35" s="80">
        <f t="shared" ca="1" si="9"/>
        <v>0.33333333329999998</v>
      </c>
      <c r="W35" s="249" t="str">
        <f t="shared" ca="1" si="10"/>
        <v/>
      </c>
      <c r="X35" s="293"/>
      <c r="Y35" s="221">
        <f t="shared" si="11"/>
        <v>0</v>
      </c>
      <c r="Z35" s="299">
        <f ca="1">IF(B35="","",INDIRECT(ADDRESS(MATCH(B35,Soll_AZ,1)+MATCH("Arbeitszeit 1 ab",Voreinstellung_Übersicht!B:B,0)-1,WEEKDAY(B35,2)+4,,,"Voreinstellung_Übersicht"),TRUE))</f>
        <v>0.33333333333333331</v>
      </c>
      <c r="AA35" s="300">
        <f t="shared" ca="1" si="40"/>
        <v>0</v>
      </c>
      <c r="AB35" s="219">
        <f t="shared" si="12"/>
        <v>0</v>
      </c>
      <c r="AC35" s="219">
        <f t="shared" si="13"/>
        <v>0</v>
      </c>
      <c r="AD35" s="219">
        <f t="shared" si="14"/>
        <v>0</v>
      </c>
      <c r="AE35" s="219">
        <f t="shared" si="15"/>
        <v>0</v>
      </c>
      <c r="AF35" s="219">
        <f t="shared" si="16"/>
        <v>0</v>
      </c>
      <c r="AG35" s="219">
        <f t="shared" si="17"/>
        <v>0</v>
      </c>
      <c r="AH35" s="219">
        <f t="shared" si="18"/>
        <v>0</v>
      </c>
      <c r="AI35" s="219">
        <f t="shared" si="19"/>
        <v>0</v>
      </c>
      <c r="AJ35" s="219">
        <f t="shared" si="20"/>
        <v>0</v>
      </c>
      <c r="AK35" s="219">
        <f t="shared" si="21"/>
        <v>0</v>
      </c>
      <c r="AL35" s="219">
        <f t="shared" si="22"/>
        <v>0</v>
      </c>
      <c r="AM35" s="219">
        <f t="shared" si="23"/>
        <v>0</v>
      </c>
      <c r="AN35" s="301">
        <f t="shared" si="24"/>
        <v>0</v>
      </c>
      <c r="AO35" s="301">
        <f t="shared" si="25"/>
        <v>0</v>
      </c>
      <c r="AP35" s="301">
        <f t="shared" si="26"/>
        <v>0</v>
      </c>
      <c r="AQ35" s="301">
        <f t="shared" si="27"/>
        <v>0</v>
      </c>
      <c r="AR35" s="301">
        <f t="shared" si="28"/>
        <v>0</v>
      </c>
      <c r="AS35" s="301">
        <f t="shared" si="29"/>
        <v>0</v>
      </c>
      <c r="AT35" s="302">
        <f t="shared" si="30"/>
        <v>0</v>
      </c>
      <c r="AU35" s="302">
        <f t="shared" si="31"/>
        <v>0</v>
      </c>
      <c r="AV35" s="81">
        <f t="shared" si="32"/>
        <v>0</v>
      </c>
      <c r="AW35" s="82">
        <f t="shared" si="33"/>
        <v>0</v>
      </c>
      <c r="AX35" s="81">
        <f t="shared" si="34"/>
        <v>0</v>
      </c>
      <c r="AY35" s="83">
        <f t="shared" si="35"/>
        <v>0</v>
      </c>
      <c r="AZ35" s="83">
        <f t="shared" si="36"/>
        <v>0</v>
      </c>
      <c r="BA35" s="82">
        <f>IF(OR(B35=Feiertage!$A$16,B35=Feiertage!$A$19),U35*Zuschläge_24_31/100,IF(AZ35&gt;0,AZ35*Feiertag_mit/100,IF(AX35&gt;0,AX35*Zuschläge_Sa/100,IF(AY35&gt;0,AY35*Zuschlag_So/100,0))))</f>
        <v>0</v>
      </c>
      <c r="BB35" s="82">
        <f>IF(AND(B35&lt;&gt;0,G35=Voreinstellung_Übersicht!$D$41),IF(EG=1,W35*Über_klein/100,IF(EG=2,W35*Über_groß/100,"Fehler")),0)</f>
        <v>0</v>
      </c>
      <c r="BC35" s="299">
        <f t="shared" ca="1" si="41"/>
        <v>0</v>
      </c>
      <c r="BD35" s="219">
        <f t="shared" ca="1" si="37"/>
        <v>1</v>
      </c>
      <c r="BE35" s="303">
        <f ca="1">IF(B35="","",INDIRECT(ADDRESS(MATCH(B35,Soll_AZ,1)+MATCH("Arbeitszeit 1 ab",Voreinstellung_Übersicht!B:B,0)-1,4,,,"Voreinstellung_Übersicht"),TRUE))</f>
        <v>1.6666666666666665</v>
      </c>
      <c r="BF35" s="1">
        <f t="shared" si="42"/>
        <v>0</v>
      </c>
    </row>
    <row r="36" spans="1:104" s="1" customFormat="1" ht="15" x14ac:dyDescent="0.3">
      <c r="A36" s="218">
        <f t="shared" si="0"/>
        <v>22</v>
      </c>
      <c r="B36" s="47">
        <f t="shared" si="38"/>
        <v>42152</v>
      </c>
      <c r="C36" s="219">
        <f t="shared" si="1"/>
        <v>1</v>
      </c>
      <c r="D36" s="220" t="str">
        <f t="shared" si="2"/>
        <v/>
      </c>
      <c r="E36" s="298" t="str">
        <f t="shared" si="3"/>
        <v/>
      </c>
      <c r="F36" s="87">
        <f t="shared" si="4"/>
        <v>42152</v>
      </c>
      <c r="G36" s="147"/>
      <c r="H36" s="74"/>
      <c r="I36" s="75"/>
      <c r="J36" s="221">
        <f t="shared" si="5"/>
        <v>0</v>
      </c>
      <c r="K36" s="76"/>
      <c r="L36" s="221">
        <f t="shared" si="43"/>
        <v>0</v>
      </c>
      <c r="M36" s="74"/>
      <c r="N36" s="75"/>
      <c r="O36" s="221">
        <f t="shared" si="6"/>
        <v>0</v>
      </c>
      <c r="P36" s="76"/>
      <c r="Q36" s="221">
        <f t="shared" si="44"/>
        <v>0</v>
      </c>
      <c r="R36" s="221">
        <f t="shared" si="45"/>
        <v>0</v>
      </c>
      <c r="S36" s="221">
        <f t="shared" si="7"/>
        <v>0</v>
      </c>
      <c r="T36" s="79">
        <f t="shared" si="8"/>
        <v>0</v>
      </c>
      <c r="U36" s="79">
        <f t="shared" si="39"/>
        <v>0</v>
      </c>
      <c r="V36" s="80">
        <f t="shared" ca="1" si="9"/>
        <v>0.33333333329999998</v>
      </c>
      <c r="W36" s="249" t="str">
        <f t="shared" ca="1" si="10"/>
        <v/>
      </c>
      <c r="X36" s="293"/>
      <c r="Y36" s="221">
        <f t="shared" si="11"/>
        <v>0</v>
      </c>
      <c r="Z36" s="299">
        <f ca="1">IF(B36="","",INDIRECT(ADDRESS(MATCH(B36,Soll_AZ,1)+MATCH("Arbeitszeit 1 ab",Voreinstellung_Übersicht!B:B,0)-1,WEEKDAY(B36,2)+4,,,"Voreinstellung_Übersicht"),TRUE))</f>
        <v>0.33333333333333331</v>
      </c>
      <c r="AA36" s="300">
        <f t="shared" ca="1" si="40"/>
        <v>0</v>
      </c>
      <c r="AB36" s="219">
        <f t="shared" si="12"/>
        <v>0</v>
      </c>
      <c r="AC36" s="219">
        <f t="shared" si="13"/>
        <v>0</v>
      </c>
      <c r="AD36" s="219">
        <f t="shared" si="14"/>
        <v>0</v>
      </c>
      <c r="AE36" s="219">
        <f t="shared" si="15"/>
        <v>0</v>
      </c>
      <c r="AF36" s="219">
        <f t="shared" si="16"/>
        <v>0</v>
      </c>
      <c r="AG36" s="219">
        <f t="shared" si="17"/>
        <v>0</v>
      </c>
      <c r="AH36" s="219">
        <f t="shared" si="18"/>
        <v>0</v>
      </c>
      <c r="AI36" s="219">
        <f t="shared" si="19"/>
        <v>0</v>
      </c>
      <c r="AJ36" s="219">
        <f t="shared" si="20"/>
        <v>0</v>
      </c>
      <c r="AK36" s="219">
        <f t="shared" si="21"/>
        <v>0</v>
      </c>
      <c r="AL36" s="219">
        <f t="shared" si="22"/>
        <v>0</v>
      </c>
      <c r="AM36" s="219">
        <f t="shared" si="23"/>
        <v>0</v>
      </c>
      <c r="AN36" s="301">
        <f t="shared" si="24"/>
        <v>0</v>
      </c>
      <c r="AO36" s="301">
        <f t="shared" si="25"/>
        <v>0</v>
      </c>
      <c r="AP36" s="301">
        <f t="shared" si="26"/>
        <v>0</v>
      </c>
      <c r="AQ36" s="301">
        <f t="shared" si="27"/>
        <v>0</v>
      </c>
      <c r="AR36" s="301">
        <f t="shared" si="28"/>
        <v>0</v>
      </c>
      <c r="AS36" s="301">
        <f t="shared" si="29"/>
        <v>0</v>
      </c>
      <c r="AT36" s="302">
        <f t="shared" si="30"/>
        <v>0</v>
      </c>
      <c r="AU36" s="302">
        <f t="shared" si="31"/>
        <v>0</v>
      </c>
      <c r="AV36" s="81">
        <f t="shared" si="32"/>
        <v>0</v>
      </c>
      <c r="AW36" s="82">
        <f t="shared" si="33"/>
        <v>0</v>
      </c>
      <c r="AX36" s="81">
        <f t="shared" si="34"/>
        <v>0</v>
      </c>
      <c r="AY36" s="83">
        <f t="shared" si="35"/>
        <v>0</v>
      </c>
      <c r="AZ36" s="83">
        <f t="shared" si="36"/>
        <v>0</v>
      </c>
      <c r="BA36" s="82">
        <f>IF(OR(B36=Feiertage!$A$16,B36=Feiertage!$A$19),U36*Zuschläge_24_31/100,IF(AZ36&gt;0,AZ36*Feiertag_mit/100,IF(AX36&gt;0,AX36*Zuschläge_Sa/100,IF(AY36&gt;0,AY36*Zuschlag_So/100,0))))</f>
        <v>0</v>
      </c>
      <c r="BB36" s="82">
        <f>IF(AND(B36&lt;&gt;0,G36=Voreinstellung_Übersicht!$D$41),IF(EG=1,W36*Über_klein/100,IF(EG=2,W36*Über_groß/100,"Fehler")),0)</f>
        <v>0</v>
      </c>
      <c r="BC36" s="299">
        <f t="shared" ca="1" si="41"/>
        <v>0</v>
      </c>
      <c r="BD36" s="219">
        <f t="shared" ca="1" si="37"/>
        <v>1</v>
      </c>
      <c r="BE36" s="303">
        <f ca="1">IF(B36="","",INDIRECT(ADDRESS(MATCH(B36,Soll_AZ,1)+MATCH("Arbeitszeit 1 ab",Voreinstellung_Übersicht!B:B,0)-1,4,,,"Voreinstellung_Übersicht"),TRUE))</f>
        <v>1.6666666666666665</v>
      </c>
      <c r="BF36" s="1">
        <f t="shared" si="42"/>
        <v>0</v>
      </c>
    </row>
    <row r="37" spans="1:104" s="1" customFormat="1" ht="30" x14ac:dyDescent="0.3">
      <c r="A37" s="218">
        <f t="shared" si="0"/>
        <v>22</v>
      </c>
      <c r="B37" s="47">
        <f t="shared" si="38"/>
        <v>42153</v>
      </c>
      <c r="C37" s="219">
        <f t="shared" si="1"/>
        <v>0</v>
      </c>
      <c r="D37" s="220" t="str">
        <f t="shared" si="2"/>
        <v>Christi Himmelfahrt</v>
      </c>
      <c r="E37" s="298" t="str">
        <f t="shared" si="3"/>
        <v>Christi Himmelfahrt</v>
      </c>
      <c r="F37" s="87">
        <f t="shared" si="4"/>
        <v>42153</v>
      </c>
      <c r="G37" s="147"/>
      <c r="H37" s="74"/>
      <c r="I37" s="75"/>
      <c r="J37" s="221">
        <f t="shared" si="5"/>
        <v>0</v>
      </c>
      <c r="K37" s="76"/>
      <c r="L37" s="221">
        <f t="shared" si="43"/>
        <v>0</v>
      </c>
      <c r="M37" s="74"/>
      <c r="N37" s="75"/>
      <c r="O37" s="221">
        <f t="shared" si="6"/>
        <v>0</v>
      </c>
      <c r="P37" s="76"/>
      <c r="Q37" s="221">
        <f t="shared" si="44"/>
        <v>0</v>
      </c>
      <c r="R37" s="221">
        <f t="shared" si="45"/>
        <v>0</v>
      </c>
      <c r="S37" s="221">
        <f t="shared" si="7"/>
        <v>0</v>
      </c>
      <c r="T37" s="79">
        <f t="shared" si="8"/>
        <v>0</v>
      </c>
      <c r="U37" s="79">
        <f t="shared" si="39"/>
        <v>0</v>
      </c>
      <c r="V37" s="80">
        <f t="shared" si="9"/>
        <v>0</v>
      </c>
      <c r="W37" s="249" t="str">
        <f t="shared" si="10"/>
        <v/>
      </c>
      <c r="X37" s="293"/>
      <c r="Y37" s="221">
        <f t="shared" si="11"/>
        <v>0</v>
      </c>
      <c r="Z37" s="299">
        <f ca="1">IF(B37="","",INDIRECT(ADDRESS(MATCH(B37,Soll_AZ,1)+MATCH("Arbeitszeit 1 ab",Voreinstellung_Übersicht!B:B,0)-1,WEEKDAY(B37,2)+4,,,"Voreinstellung_Übersicht"),TRUE))</f>
        <v>0.33333333333333331</v>
      </c>
      <c r="AA37" s="300">
        <f t="shared" ca="1" si="40"/>
        <v>0</v>
      </c>
      <c r="AB37" s="219">
        <f t="shared" si="12"/>
        <v>0</v>
      </c>
      <c r="AC37" s="219">
        <f t="shared" si="13"/>
        <v>0</v>
      </c>
      <c r="AD37" s="219">
        <f t="shared" si="14"/>
        <v>0</v>
      </c>
      <c r="AE37" s="219">
        <f t="shared" si="15"/>
        <v>0</v>
      </c>
      <c r="AF37" s="219">
        <f t="shared" si="16"/>
        <v>0</v>
      </c>
      <c r="AG37" s="219">
        <f t="shared" si="17"/>
        <v>0</v>
      </c>
      <c r="AH37" s="219">
        <f t="shared" si="18"/>
        <v>0</v>
      </c>
      <c r="AI37" s="219">
        <f t="shared" si="19"/>
        <v>0</v>
      </c>
      <c r="AJ37" s="219">
        <f t="shared" si="20"/>
        <v>0</v>
      </c>
      <c r="AK37" s="219">
        <f t="shared" si="21"/>
        <v>0</v>
      </c>
      <c r="AL37" s="219">
        <f t="shared" si="22"/>
        <v>0</v>
      </c>
      <c r="AM37" s="219">
        <f t="shared" si="23"/>
        <v>0</v>
      </c>
      <c r="AN37" s="301">
        <f t="shared" si="24"/>
        <v>0</v>
      </c>
      <c r="AO37" s="301">
        <f t="shared" si="25"/>
        <v>0</v>
      </c>
      <c r="AP37" s="301">
        <f t="shared" si="26"/>
        <v>0</v>
      </c>
      <c r="AQ37" s="301">
        <f t="shared" si="27"/>
        <v>0</v>
      </c>
      <c r="AR37" s="301">
        <f t="shared" si="28"/>
        <v>0</v>
      </c>
      <c r="AS37" s="301">
        <f t="shared" si="29"/>
        <v>0</v>
      </c>
      <c r="AT37" s="302">
        <f t="shared" si="30"/>
        <v>0</v>
      </c>
      <c r="AU37" s="302">
        <f t="shared" si="31"/>
        <v>0</v>
      </c>
      <c r="AV37" s="81">
        <f t="shared" si="32"/>
        <v>0</v>
      </c>
      <c r="AW37" s="82">
        <f t="shared" si="33"/>
        <v>0</v>
      </c>
      <c r="AX37" s="81">
        <f t="shared" si="34"/>
        <v>0</v>
      </c>
      <c r="AY37" s="83">
        <f t="shared" si="35"/>
        <v>0</v>
      </c>
      <c r="AZ37" s="83">
        <f t="shared" si="36"/>
        <v>0</v>
      </c>
      <c r="BA37" s="82">
        <f>IF(OR(B37=Feiertage!$A$16,B37=Feiertage!$A$19),U37*Zuschläge_24_31/100,IF(AZ37&gt;0,AZ37*Feiertag_mit/100,IF(AX37&gt;0,AX37*Zuschläge_Sa/100,IF(AY37&gt;0,AY37*Zuschlag_So/100,0))))</f>
        <v>0</v>
      </c>
      <c r="BB37" s="82">
        <f>IF(AND(B37&lt;&gt;0,G37=Voreinstellung_Übersicht!$D$41),IF(EG=1,W37*Über_klein/100,IF(EG=2,W37*Über_groß/100,"Fehler")),0)</f>
        <v>0</v>
      </c>
      <c r="BC37" s="299">
        <f t="shared" ca="1" si="41"/>
        <v>0</v>
      </c>
      <c r="BD37" s="219">
        <f t="shared" ca="1" si="37"/>
        <v>1</v>
      </c>
      <c r="BE37" s="303">
        <f ca="1">IF(B37="","",INDIRECT(ADDRESS(MATCH(B37,Soll_AZ,1)+MATCH("Arbeitszeit 1 ab",Voreinstellung_Übersicht!B:B,0)-1,4,,,"Voreinstellung_Übersicht"),TRUE))</f>
        <v>1.6666666666666665</v>
      </c>
      <c r="BF37" s="1">
        <f t="shared" si="42"/>
        <v>0</v>
      </c>
    </row>
    <row r="38" spans="1:104" s="172" customFormat="1" ht="15" x14ac:dyDescent="0.3">
      <c r="A38" s="229">
        <f t="shared" si="0"/>
        <v>22</v>
      </c>
      <c r="B38" s="217">
        <f t="shared" si="38"/>
        <v>42154</v>
      </c>
      <c r="C38" s="230">
        <f t="shared" si="1"/>
        <v>1</v>
      </c>
      <c r="D38" s="231" t="str">
        <f t="shared" si="2"/>
        <v/>
      </c>
      <c r="E38" s="304" t="str">
        <f t="shared" si="3"/>
        <v/>
      </c>
      <c r="F38" s="216">
        <f t="shared" si="4"/>
        <v>42154</v>
      </c>
      <c r="G38" s="147"/>
      <c r="H38" s="77"/>
      <c r="I38" s="75"/>
      <c r="J38" s="221">
        <f t="shared" si="5"/>
        <v>0</v>
      </c>
      <c r="K38" s="76"/>
      <c r="L38" s="221">
        <f t="shared" si="43"/>
        <v>0</v>
      </c>
      <c r="M38" s="77"/>
      <c r="N38" s="215"/>
      <c r="O38" s="232">
        <f t="shared" si="6"/>
        <v>0</v>
      </c>
      <c r="P38" s="78"/>
      <c r="Q38" s="221">
        <f t="shared" si="44"/>
        <v>0</v>
      </c>
      <c r="R38" s="221">
        <f t="shared" si="45"/>
        <v>0</v>
      </c>
      <c r="S38" s="221">
        <f t="shared" si="7"/>
        <v>0</v>
      </c>
      <c r="T38" s="79">
        <f t="shared" si="8"/>
        <v>0</v>
      </c>
      <c r="U38" s="79">
        <f t="shared" si="39"/>
        <v>0</v>
      </c>
      <c r="V38" s="80">
        <f t="shared" ca="1" si="9"/>
        <v>0.33333333329999998</v>
      </c>
      <c r="W38" s="249" t="str">
        <f t="shared" ca="1" si="10"/>
        <v/>
      </c>
      <c r="X38" s="294"/>
      <c r="Y38" s="221">
        <f t="shared" si="11"/>
        <v>0</v>
      </c>
      <c r="Z38" s="299">
        <f ca="1">IF(B38="","",INDIRECT(ADDRESS(MATCH(B38,Soll_AZ,1)+MATCH("Arbeitszeit 1 ab",Voreinstellung_Übersicht!B:B,0)-1,WEEKDAY(B38,2)+4,,,"Voreinstellung_Übersicht"),TRUE))</f>
        <v>0.33333333333333331</v>
      </c>
      <c r="AA38" s="300">
        <f t="shared" ca="1" si="40"/>
        <v>0</v>
      </c>
      <c r="AB38" s="219">
        <f t="shared" si="12"/>
        <v>0</v>
      </c>
      <c r="AC38" s="219">
        <f t="shared" si="13"/>
        <v>0</v>
      </c>
      <c r="AD38" s="219">
        <f t="shared" si="14"/>
        <v>0</v>
      </c>
      <c r="AE38" s="219">
        <f t="shared" si="15"/>
        <v>0</v>
      </c>
      <c r="AF38" s="219">
        <f t="shared" si="16"/>
        <v>0</v>
      </c>
      <c r="AG38" s="219">
        <f t="shared" si="17"/>
        <v>0</v>
      </c>
      <c r="AH38" s="219">
        <f t="shared" si="18"/>
        <v>0</v>
      </c>
      <c r="AI38" s="219">
        <f t="shared" si="19"/>
        <v>0</v>
      </c>
      <c r="AJ38" s="219">
        <f t="shared" si="20"/>
        <v>0</v>
      </c>
      <c r="AK38" s="219">
        <f t="shared" si="21"/>
        <v>0</v>
      </c>
      <c r="AL38" s="219">
        <f t="shared" si="22"/>
        <v>0</v>
      </c>
      <c r="AM38" s="219">
        <f t="shared" si="23"/>
        <v>0</v>
      </c>
      <c r="AN38" s="301">
        <f t="shared" si="24"/>
        <v>0</v>
      </c>
      <c r="AO38" s="301">
        <f t="shared" si="25"/>
        <v>0</v>
      </c>
      <c r="AP38" s="301">
        <f t="shared" si="26"/>
        <v>0</v>
      </c>
      <c r="AQ38" s="301">
        <f t="shared" si="27"/>
        <v>0</v>
      </c>
      <c r="AR38" s="301">
        <f t="shared" si="28"/>
        <v>0</v>
      </c>
      <c r="AS38" s="301">
        <f t="shared" si="29"/>
        <v>0</v>
      </c>
      <c r="AT38" s="302">
        <f t="shared" si="30"/>
        <v>0</v>
      </c>
      <c r="AU38" s="302">
        <f t="shared" si="31"/>
        <v>0</v>
      </c>
      <c r="AV38" s="81">
        <f t="shared" si="32"/>
        <v>0</v>
      </c>
      <c r="AW38" s="82">
        <f t="shared" si="33"/>
        <v>0</v>
      </c>
      <c r="AX38" s="81">
        <f t="shared" si="34"/>
        <v>0</v>
      </c>
      <c r="AY38" s="212">
        <f t="shared" si="35"/>
        <v>0</v>
      </c>
      <c r="AZ38" s="212">
        <f t="shared" si="36"/>
        <v>0</v>
      </c>
      <c r="BA38" s="213">
        <f>IF(OR(B38=Feiertage!$A$16,B38=Feiertage!$A$19),U38*Zuschläge_24_31/100,IF(AZ38&gt;0,AZ38*Feiertag_mit/100,IF(AX38&gt;0,AX38*Zuschläge_Sa/100,IF(AY38&gt;0,AY38*Zuschlag_So/100,0))))</f>
        <v>0</v>
      </c>
      <c r="BB38" s="213">
        <f>IF(AND(B38&lt;&gt;0,G38=Voreinstellung_Übersicht!$D$41),IF(EG=1,W38*Über_klein/100,IF(EG=2,W38*Über_groß/100,"Fehler")),0)</f>
        <v>0</v>
      </c>
      <c r="BC38" s="305">
        <f t="shared" ca="1" si="41"/>
        <v>0</v>
      </c>
      <c r="BD38" s="219">
        <f t="shared" ca="1" si="37"/>
        <v>1</v>
      </c>
      <c r="BE38" s="306">
        <f ca="1">IF(B38="","",INDIRECT(ADDRESS(MATCH(B38,Soll_AZ,1)+MATCH("Arbeitszeit 1 ab",Voreinstellung_Übersicht!B:B,0)-1,4,,,"Voreinstellung_Übersicht"),TRUE))</f>
        <v>1.6666666666666665</v>
      </c>
      <c r="BF38" s="1">
        <f t="shared" si="42"/>
        <v>0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5" x14ac:dyDescent="0.25">
      <c r="A39" s="233"/>
      <c r="B39" s="233"/>
      <c r="C39" s="233"/>
      <c r="D39" s="233"/>
      <c r="E39" s="233"/>
      <c r="F39" s="488" t="s">
        <v>49</v>
      </c>
      <c r="G39" s="489"/>
      <c r="H39" s="482" t="s">
        <v>171</v>
      </c>
      <c r="I39" s="483"/>
      <c r="J39" s="307"/>
      <c r="K39" s="308">
        <f>AB39</f>
        <v>0</v>
      </c>
      <c r="L39" s="221"/>
      <c r="M39" s="206"/>
      <c r="N39" s="206"/>
      <c r="O39" s="221"/>
      <c r="P39" s="206"/>
      <c r="Q39" s="221"/>
      <c r="R39" s="221"/>
      <c r="S39" s="221"/>
      <c r="T39" s="479" t="s">
        <v>172</v>
      </c>
      <c r="U39" s="482" t="s">
        <v>171</v>
      </c>
      <c r="V39" s="483"/>
      <c r="W39" s="234">
        <f ca="1">Apr!W41</f>
        <v>0</v>
      </c>
      <c r="X39" s="309"/>
      <c r="Y39" s="221" t="s">
        <v>173</v>
      </c>
      <c r="Z39" s="299" t="s">
        <v>174</v>
      </c>
      <c r="AA39" s="300"/>
      <c r="AB39" s="219">
        <f>Apr!AB41</f>
        <v>0</v>
      </c>
      <c r="AC39" s="219">
        <f>Apr!AC41</f>
        <v>0</v>
      </c>
      <c r="AD39" s="219">
        <f>Apr!AD41</f>
        <v>0</v>
      </c>
      <c r="AE39" s="219">
        <f>Apr!AE41</f>
        <v>0</v>
      </c>
      <c r="AF39" s="219">
        <f>Apr!AF41</f>
        <v>0</v>
      </c>
      <c r="AG39" s="219">
        <f>Apr!AG41</f>
        <v>0</v>
      </c>
      <c r="AH39" s="219">
        <f>Apr!AH41</f>
        <v>0</v>
      </c>
      <c r="AI39" s="219">
        <f>Apr!AI41</f>
        <v>0</v>
      </c>
      <c r="AJ39" s="219">
        <f>Apr!AJ41</f>
        <v>0</v>
      </c>
      <c r="AK39" s="219">
        <f>Apr!AK41</f>
        <v>0</v>
      </c>
      <c r="AL39" s="219">
        <f>Apr!AL41</f>
        <v>0</v>
      </c>
      <c r="AM39" s="219">
        <f>Apr!AM41</f>
        <v>0</v>
      </c>
      <c r="AN39" s="301"/>
      <c r="AO39" s="301"/>
      <c r="AP39" s="301"/>
      <c r="AQ39" s="301"/>
      <c r="AR39" s="301"/>
      <c r="AS39" s="301"/>
      <c r="AT39" s="302"/>
      <c r="AU39" s="302"/>
      <c r="AV39" s="484" t="s">
        <v>176</v>
      </c>
      <c r="AW39" s="234">
        <f>Voreinstellung_Übersicht!H12</f>
        <v>0</v>
      </c>
      <c r="AX39" s="310">
        <f>IF(AZ_Konto,SUM(AW8:AW38),0)</f>
        <v>0</v>
      </c>
      <c r="AY39" s="311"/>
      <c r="AZ39" s="312"/>
      <c r="BA39" s="311">
        <f>IF(AZ_Konto,SUM(BA8:BA38),0)</f>
        <v>0</v>
      </c>
      <c r="BB39" s="311">
        <f>IF(AZ_Konto,SUM(BB8:BB38),0)</f>
        <v>0</v>
      </c>
      <c r="BC39" s="299">
        <f ca="1">BC38</f>
        <v>0</v>
      </c>
      <c r="BD39" s="219"/>
      <c r="BE39" s="303"/>
      <c r="BF39"/>
    </row>
    <row r="40" spans="1:104" ht="15" x14ac:dyDescent="0.25">
      <c r="A40" s="233"/>
      <c r="B40" s="233"/>
      <c r="C40" s="233"/>
      <c r="D40" s="233"/>
      <c r="E40" s="233"/>
      <c r="F40" s="488"/>
      <c r="G40" s="490"/>
      <c r="H40" s="482" t="s">
        <v>177</v>
      </c>
      <c r="I40" s="483"/>
      <c r="J40" s="235"/>
      <c r="K40" s="236">
        <f>-AB40</f>
        <v>0</v>
      </c>
      <c r="L40" s="221"/>
      <c r="M40" s="206"/>
      <c r="N40" s="206"/>
      <c r="O40" s="221"/>
      <c r="P40" s="206"/>
      <c r="Q40" s="221"/>
      <c r="R40" s="221"/>
      <c r="S40" s="221"/>
      <c r="T40" s="480"/>
      <c r="U40" s="482" t="s">
        <v>177</v>
      </c>
      <c r="V40" s="483"/>
      <c r="W40" s="237">
        <f ca="1">SUM(W8:W38)</f>
        <v>0</v>
      </c>
      <c r="X40" s="309"/>
      <c r="Y40" s="221">
        <f>SUM(Y8:Y38)</f>
        <v>0</v>
      </c>
      <c r="Z40" s="299">
        <f ca="1">SUM(Z8:Z38)</f>
        <v>7.6666666666666634</v>
      </c>
      <c r="AA40" s="300"/>
      <c r="AB40" s="219">
        <f t="shared" ref="AB40:AM40" si="46">SUM(AB8:AB38)</f>
        <v>0</v>
      </c>
      <c r="AC40" s="219">
        <f t="shared" si="46"/>
        <v>0</v>
      </c>
      <c r="AD40" s="219">
        <f t="shared" si="46"/>
        <v>0</v>
      </c>
      <c r="AE40" s="219">
        <f t="shared" si="46"/>
        <v>0</v>
      </c>
      <c r="AF40" s="219">
        <f t="shared" si="46"/>
        <v>0</v>
      </c>
      <c r="AG40" s="219">
        <f t="shared" si="46"/>
        <v>0</v>
      </c>
      <c r="AH40" s="219">
        <f t="shared" si="46"/>
        <v>0</v>
      </c>
      <c r="AI40" s="219">
        <f t="shared" si="46"/>
        <v>0</v>
      </c>
      <c r="AJ40" s="219">
        <f t="shared" si="46"/>
        <v>0</v>
      </c>
      <c r="AK40" s="219">
        <f t="shared" si="46"/>
        <v>0</v>
      </c>
      <c r="AL40" s="219">
        <f t="shared" si="46"/>
        <v>0</v>
      </c>
      <c r="AM40" s="219">
        <f t="shared" si="46"/>
        <v>0</v>
      </c>
      <c r="AN40" s="301"/>
      <c r="AO40" s="301"/>
      <c r="AP40" s="301"/>
      <c r="AQ40" s="301"/>
      <c r="AR40" s="301"/>
      <c r="AS40" s="301"/>
      <c r="AT40" s="302"/>
      <c r="AU40" s="302"/>
      <c r="AV40" s="485"/>
      <c r="AW40" s="237" t="str">
        <f>IF(SUM(AX39,BA39,BB39)&gt;0,SUM(AX39,BA39,BB39),"")</f>
        <v/>
      </c>
      <c r="AX40" s="313"/>
      <c r="AY40" s="313"/>
      <c r="AZ40" s="313"/>
      <c r="BA40" s="313"/>
      <c r="BB40" s="313"/>
      <c r="BC40" s="299"/>
      <c r="BD40" s="219"/>
      <c r="BE40" s="303"/>
      <c r="BF40"/>
    </row>
    <row r="41" spans="1:104" ht="15" x14ac:dyDescent="0.25">
      <c r="A41" s="233"/>
      <c r="B41" s="233"/>
      <c r="C41" s="233"/>
      <c r="D41" s="233"/>
      <c r="E41" s="233"/>
      <c r="F41" s="491"/>
      <c r="G41" s="492"/>
      <c r="H41" s="482" t="s">
        <v>178</v>
      </c>
      <c r="I41" s="483"/>
      <c r="J41" s="238"/>
      <c r="K41" s="239">
        <f>AB41</f>
        <v>0</v>
      </c>
      <c r="L41" s="221"/>
      <c r="M41" s="206"/>
      <c r="N41" s="206"/>
      <c r="O41" s="221"/>
      <c r="P41" s="206"/>
      <c r="Q41" s="221"/>
      <c r="R41" s="221"/>
      <c r="S41" s="221"/>
      <c r="T41" s="481"/>
      <c r="U41" s="482" t="s">
        <v>178</v>
      </c>
      <c r="V41" s="483"/>
      <c r="W41" s="240">
        <f ca="1">SUM(W39:W40)</f>
        <v>0</v>
      </c>
      <c r="X41" s="309"/>
      <c r="Y41" s="221"/>
      <c r="Z41" s="299"/>
      <c r="AA41" s="300"/>
      <c r="AB41" s="219">
        <f>AB39-AB40</f>
        <v>0</v>
      </c>
      <c r="AC41" s="219">
        <f t="shared" ref="AC41:AM41" si="47">SUM(AC39:AC40)</f>
        <v>0</v>
      </c>
      <c r="AD41" s="219">
        <f t="shared" si="47"/>
        <v>0</v>
      </c>
      <c r="AE41" s="219">
        <f t="shared" si="47"/>
        <v>0</v>
      </c>
      <c r="AF41" s="219">
        <f t="shared" si="47"/>
        <v>0</v>
      </c>
      <c r="AG41" s="219">
        <f t="shared" si="47"/>
        <v>0</v>
      </c>
      <c r="AH41" s="219">
        <f t="shared" si="47"/>
        <v>0</v>
      </c>
      <c r="AI41" s="219">
        <f t="shared" si="47"/>
        <v>0</v>
      </c>
      <c r="AJ41" s="219">
        <f t="shared" si="47"/>
        <v>0</v>
      </c>
      <c r="AK41" s="219">
        <f t="shared" si="47"/>
        <v>0</v>
      </c>
      <c r="AL41" s="219">
        <f t="shared" si="47"/>
        <v>0</v>
      </c>
      <c r="AM41" s="219">
        <f t="shared" si="47"/>
        <v>0</v>
      </c>
      <c r="AN41" s="301"/>
      <c r="AO41" s="301"/>
      <c r="AP41" s="301"/>
      <c r="AQ41" s="301"/>
      <c r="AR41" s="301"/>
      <c r="AS41" s="301"/>
      <c r="AT41" s="302"/>
      <c r="AU41" s="302"/>
      <c r="AV41" s="486"/>
      <c r="AW41" s="240">
        <f>SUM(AW39:AW40)</f>
        <v>0</v>
      </c>
      <c r="AX41" s="314"/>
      <c r="AY41" s="314"/>
      <c r="AZ41" s="314"/>
      <c r="BA41" s="314"/>
      <c r="BB41" s="314"/>
      <c r="BC41" s="299"/>
      <c r="BD41" s="219"/>
      <c r="BE41" s="303"/>
      <c r="BF41"/>
    </row>
    <row r="42" spans="1:104" s="1" customFormat="1" ht="15" x14ac:dyDescent="0.3">
      <c r="A42" s="88"/>
      <c r="B42" s="47"/>
      <c r="C42" s="6"/>
      <c r="D42" s="89"/>
      <c r="E42" s="90"/>
      <c r="F42" s="487" t="s">
        <v>179</v>
      </c>
      <c r="G42" s="487"/>
      <c r="H42" s="487"/>
      <c r="I42" s="487"/>
      <c r="J42" s="347"/>
      <c r="K42" s="186">
        <f>NETWORKDAYS(B8,B38,Feiertage)</f>
        <v>21</v>
      </c>
      <c r="L42" s="331"/>
      <c r="M42" s="330"/>
      <c r="N42" s="330"/>
      <c r="O42" s="331"/>
      <c r="P42" s="330"/>
      <c r="Q42" s="331"/>
      <c r="R42" s="331"/>
      <c r="S42" s="331"/>
      <c r="T42" s="332"/>
      <c r="U42" s="332"/>
      <c r="V42" s="332"/>
      <c r="W42" s="332"/>
      <c r="X42" s="333"/>
      <c r="Y42" s="331"/>
      <c r="Z42" s="334"/>
      <c r="AA42" s="335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7"/>
      <c r="AO42" s="337"/>
      <c r="AP42" s="337"/>
      <c r="AQ42" s="337"/>
      <c r="AR42" s="337"/>
      <c r="AS42" s="337"/>
      <c r="AT42" s="338"/>
      <c r="AU42" s="338"/>
      <c r="AV42" s="339"/>
      <c r="AW42" s="340"/>
      <c r="AX42" s="83"/>
      <c r="AY42" s="83"/>
      <c r="AZ42" s="83"/>
      <c r="BA42" s="173"/>
      <c r="BB42" s="173"/>
      <c r="BC42" s="15"/>
      <c r="BD42" s="6"/>
      <c r="BE42" s="169"/>
    </row>
    <row r="43" spans="1:104" s="1" customFormat="1" ht="15" x14ac:dyDescent="0.3">
      <c r="A43" s="11"/>
      <c r="B43" s="47"/>
      <c r="C43" s="6"/>
      <c r="D43" s="6"/>
      <c r="E43" s="12"/>
      <c r="F43" s="487" t="s">
        <v>180</v>
      </c>
      <c r="G43" s="487"/>
      <c r="H43" s="487"/>
      <c r="I43" s="487"/>
      <c r="J43" s="348"/>
      <c r="K43" s="186">
        <f>SUM(BF8:BF38)</f>
        <v>0</v>
      </c>
      <c r="L43" s="336"/>
      <c r="M43" s="341"/>
      <c r="N43" s="341"/>
      <c r="O43" s="336"/>
      <c r="P43" s="341"/>
      <c r="Q43" s="336"/>
      <c r="R43" s="336"/>
      <c r="S43" s="336"/>
      <c r="T43" s="341"/>
      <c r="U43" s="341"/>
      <c r="V43" s="341"/>
      <c r="W43" s="341"/>
      <c r="X43" s="342"/>
      <c r="Y43" s="331"/>
      <c r="Z43" s="343"/>
      <c r="AA43" s="344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45"/>
      <c r="AO43" s="336"/>
      <c r="AP43" s="336"/>
      <c r="AQ43" s="336"/>
      <c r="AR43" s="336"/>
      <c r="AS43" s="336"/>
      <c r="AT43" s="346"/>
      <c r="AU43" s="346"/>
      <c r="AV43" s="341"/>
      <c r="AW43" s="341"/>
      <c r="AX43" s="26"/>
      <c r="AY43" s="26"/>
      <c r="AZ43" s="26"/>
      <c r="BA43" s="26"/>
      <c r="BC43" s="6"/>
      <c r="BD43" s="6"/>
      <c r="BE43" s="6"/>
    </row>
    <row r="45" spans="1:104" x14ac:dyDescent="0.3">
      <c r="A45" s="11"/>
      <c r="B45" s="47"/>
      <c r="C45" s="6"/>
      <c r="D45" s="6"/>
      <c r="E45" s="12"/>
      <c r="F45" s="329"/>
      <c r="G45" s="329"/>
      <c r="H45" s="341"/>
      <c r="I45" s="341"/>
      <c r="J45" s="336"/>
      <c r="K45" s="341"/>
      <c r="L45" s="336"/>
      <c r="M45" s="341"/>
      <c r="N45" s="341"/>
      <c r="O45" s="336"/>
      <c r="P45" s="341"/>
      <c r="Q45" s="336"/>
      <c r="R45" s="336"/>
      <c r="S45" s="336"/>
      <c r="T45" s="341"/>
      <c r="U45" s="341"/>
      <c r="V45" s="341"/>
      <c r="W45" s="341"/>
      <c r="X45" s="342"/>
      <c r="Y45" s="331"/>
      <c r="Z45" s="343"/>
      <c r="AA45" s="344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45"/>
      <c r="AO45" s="336"/>
      <c r="AP45" s="336"/>
      <c r="AQ45" s="336"/>
      <c r="AR45" s="336"/>
      <c r="AS45" s="336"/>
      <c r="AT45" s="346"/>
      <c r="AU45" s="346"/>
      <c r="AV45" s="341"/>
      <c r="AW45" s="341"/>
      <c r="AX45" s="26"/>
      <c r="AY45" s="26"/>
      <c r="AZ45" s="26"/>
      <c r="BA45" s="26"/>
      <c r="BB45" s="1"/>
      <c r="BC45" s="6"/>
      <c r="BD45" s="6"/>
      <c r="BE45" s="6"/>
      <c r="BG45" s="1"/>
    </row>
    <row r="46" spans="1:104" x14ac:dyDescent="0.3">
      <c r="A46" s="11"/>
      <c r="B46" s="47"/>
      <c r="C46" s="6"/>
      <c r="D46" s="6"/>
      <c r="E46" s="12"/>
      <c r="F46" s="329"/>
      <c r="G46" s="329"/>
      <c r="H46" s="341"/>
      <c r="I46" s="341"/>
      <c r="J46" s="336"/>
      <c r="K46" s="341"/>
      <c r="L46" s="336"/>
      <c r="M46" s="341"/>
      <c r="N46" s="341"/>
      <c r="O46" s="336"/>
      <c r="P46" s="341"/>
      <c r="Q46" s="336"/>
      <c r="R46" s="336"/>
      <c r="S46" s="336"/>
      <c r="T46" s="341"/>
      <c r="U46" s="341"/>
      <c r="V46" s="341"/>
      <c r="W46" s="341"/>
      <c r="X46" s="342"/>
      <c r="Y46" s="331"/>
      <c r="Z46" s="343"/>
      <c r="AA46" s="344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45"/>
      <c r="AO46" s="336"/>
      <c r="AP46" s="336"/>
      <c r="AQ46" s="336"/>
      <c r="AR46" s="336"/>
      <c r="AS46" s="336"/>
      <c r="AT46" s="346"/>
      <c r="AU46" s="346"/>
      <c r="AV46" s="341"/>
      <c r="AW46" s="341"/>
      <c r="AX46" s="26"/>
      <c r="AY46" s="26"/>
      <c r="AZ46" s="26"/>
      <c r="BA46" s="26"/>
      <c r="BB46" s="1"/>
      <c r="BC46" s="6"/>
      <c r="BD46" s="6"/>
      <c r="BE46" s="6"/>
      <c r="BG46" s="1"/>
    </row>
    <row r="47" spans="1:104" x14ac:dyDescent="0.3">
      <c r="A47" s="11"/>
      <c r="B47" s="47"/>
      <c r="C47" s="6"/>
      <c r="D47" s="6"/>
      <c r="E47" s="12"/>
      <c r="F47" s="329"/>
      <c r="G47" s="329"/>
      <c r="H47" s="341"/>
      <c r="I47" s="341"/>
      <c r="J47" s="336"/>
      <c r="K47" s="341"/>
      <c r="L47" s="336"/>
      <c r="M47" s="341"/>
      <c r="N47" s="341"/>
      <c r="O47" s="336"/>
      <c r="P47" s="341"/>
      <c r="Q47" s="336"/>
      <c r="R47" s="336"/>
      <c r="S47" s="336"/>
      <c r="T47" s="341"/>
      <c r="U47" s="341"/>
      <c r="V47" s="341"/>
      <c r="W47" s="341"/>
      <c r="X47" s="342"/>
      <c r="Y47" s="331"/>
      <c r="Z47" s="343"/>
      <c r="AA47" s="344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45"/>
      <c r="AO47" s="336"/>
      <c r="AP47" s="336"/>
      <c r="AQ47" s="336"/>
      <c r="AR47" s="336"/>
      <c r="AS47" s="336"/>
      <c r="AT47" s="346"/>
      <c r="AU47" s="346"/>
      <c r="AV47" s="341"/>
      <c r="AW47" s="341"/>
      <c r="AX47" s="26"/>
      <c r="AY47" s="26"/>
      <c r="AZ47" s="26"/>
      <c r="BA47" s="26"/>
      <c r="BB47" s="1"/>
      <c r="BC47" s="6"/>
      <c r="BD47" s="6"/>
      <c r="BE47" s="6"/>
      <c r="BG47" s="1"/>
    </row>
  </sheetData>
  <sheetProtection algorithmName="SHA-512" hashValue="fTWLg30ztAFAchYU6Ovi17r3qYay6PpwUXxUgB7pnh+1cs++CckE+Ds60+n1OIVNi38oCLSzUpWOshndBSQumQ==" saltValue="WluOVChM20PpgXiqtIbPgA==" spinCount="100000" sheet="1" objects="1" scenarios="1" formatCells="0" selectLockedCells="1"/>
  <mergeCells count="26">
    <mergeCell ref="F42:I42"/>
    <mergeCell ref="F43:I43"/>
    <mergeCell ref="AT2:AU4"/>
    <mergeCell ref="AA3:AA6"/>
    <mergeCell ref="AN6:AS6"/>
    <mergeCell ref="AT6:AU6"/>
    <mergeCell ref="E2:G2"/>
    <mergeCell ref="H2:I2"/>
    <mergeCell ref="AN2:AS4"/>
    <mergeCell ref="E3:G3"/>
    <mergeCell ref="H3:I3"/>
    <mergeCell ref="E4:G4"/>
    <mergeCell ref="F6:F7"/>
    <mergeCell ref="AV39:AV41"/>
    <mergeCell ref="AV6:AW6"/>
    <mergeCell ref="AX6:BA6"/>
    <mergeCell ref="G6:G7"/>
    <mergeCell ref="H6:P6"/>
    <mergeCell ref="H40:I40"/>
    <mergeCell ref="U40:V40"/>
    <mergeCell ref="H41:I41"/>
    <mergeCell ref="U41:V41"/>
    <mergeCell ref="F39:G41"/>
    <mergeCell ref="H39:I39"/>
    <mergeCell ref="T39:T41"/>
    <mergeCell ref="U39:V39"/>
  </mergeCells>
  <conditionalFormatting sqref="B7:E7 B8:F39 B40:E41 B5:F6">
    <cfRule type="expression" dxfId="167" priority="17">
      <formula>AND($C5=0,NOT($C5=""))</formula>
    </cfRule>
  </conditionalFormatting>
  <conditionalFormatting sqref="B6:F6 B7:E7 BB6:BB41 B39:F39 B40:E41 H39:H41 J39:U39 J40:S41 U40:U41 W40:AU41 AW40:BA41 F41:G41 I41 T41 V41 AV41 B8:BA38 H6:BA7 B5:BA5 W39:BA39">
    <cfRule type="expression" dxfId="166" priority="18">
      <formula>AND($C5=0,NOT($C5=""))</formula>
    </cfRule>
  </conditionalFormatting>
  <conditionalFormatting sqref="G6 BC8:BC37">
    <cfRule type="expression" dxfId="165" priority="22">
      <formula>AND($C7=0,NOT($C7=""))</formula>
    </cfRule>
  </conditionalFormatting>
  <conditionalFormatting sqref="BC38:BC41">
    <cfRule type="expression" dxfId="164" priority="23">
      <formula>AND(#REF!=0,NOT(#REF!=""))</formula>
    </cfRule>
  </conditionalFormatting>
  <conditionalFormatting sqref="W8:X41 BC8:BD41">
    <cfRule type="expression" dxfId="163" priority="14">
      <formula>$BD8=3</formula>
    </cfRule>
    <cfRule type="expression" dxfId="162" priority="15">
      <formula>$BD8=2</formula>
    </cfRule>
  </conditionalFormatting>
  <conditionalFormatting sqref="W8:W41 BC8:BD41">
    <cfRule type="expression" dxfId="161" priority="16">
      <formula>$BD8=1</formula>
    </cfRule>
  </conditionalFormatting>
  <conditionalFormatting sqref="A8:BB38">
    <cfRule type="expression" dxfId="160" priority="13">
      <formula>$R$1=TRUE</formula>
    </cfRule>
  </conditionalFormatting>
  <conditionalFormatting sqref="B1:F4">
    <cfRule type="expression" dxfId="159" priority="7">
      <formula>AND($C1=0,NOT($C1=""))</formula>
    </cfRule>
  </conditionalFormatting>
  <conditionalFormatting sqref="B1:BA4">
    <cfRule type="expression" dxfId="158" priority="8">
      <formula>AND($C1=0,NOT($C1=""))</formula>
    </cfRule>
  </conditionalFormatting>
  <conditionalFormatting sqref="B42:F42">
    <cfRule type="expression" dxfId="157" priority="4">
      <formula>AND($C42=0,NOT($C42=""))</formula>
    </cfRule>
  </conditionalFormatting>
  <conditionalFormatting sqref="BB42">
    <cfRule type="expression" dxfId="156" priority="5">
      <formula>AND($C42=0,NOT($C42=""))</formula>
    </cfRule>
  </conditionalFormatting>
  <conditionalFormatting sqref="BC42">
    <cfRule type="expression" dxfId="155" priority="6">
      <formula>AND(#REF!=0,NOT(#REF!=""))</formula>
    </cfRule>
  </conditionalFormatting>
  <conditionalFormatting sqref="BC42:BD42">
    <cfRule type="expression" dxfId="154" priority="1">
      <formula>$BD42=3</formula>
    </cfRule>
    <cfRule type="expression" dxfId="153" priority="2">
      <formula>$BD42=2</formula>
    </cfRule>
  </conditionalFormatting>
  <conditionalFormatting sqref="BC42:BD42">
    <cfRule type="expression" dxfId="152" priority="3">
      <formula>$BD42=1</formula>
    </cfRule>
  </conditionalFormatting>
  <dataValidations count="2">
    <dataValidation type="list" allowBlank="1" showInputMessage="1" showErrorMessage="1" sqref="G8:G38">
      <formula1>Code_Liste</formula1>
    </dataValidation>
    <dataValidation type="time" allowBlank="1" showInputMessage="1" showErrorMessage="1" sqref="H8:I12 K8:K12">
      <formula1>$R$6</formula1>
      <formula2>$S$6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FBFA2A39-DFCA-4AF7-83F5-35A889DFEA4A}">
            <xm:f>Voreinstellung_Übersicht!$R$14=3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21" stopIfTrue="1" id="{507A76CE-E41B-4E98-AF1F-129EF24FB844}">
            <xm:f>Voreinstellung_Übersicht!$R$14=2</xm:f>
            <x14:dxf>
              <fill>
                <patternFill>
                  <bgColor rgb="FFFFC000"/>
                </patternFill>
              </fill>
            </x14:dxf>
          </x14:cfRule>
          <xm:sqref>W7:X41</xm:sqref>
        </x14:conditionalFormatting>
        <x14:conditionalFormatting xmlns:xm="http://schemas.microsoft.com/office/excel/2006/main">
          <x14:cfRule type="expression" priority="19" stopIfTrue="1" id="{E5093959-57EF-4EA0-A0EB-F810C6CDC92A}">
            <xm:f>Voreinstellung_Übersicht!$R$14=1</xm:f>
            <x14:dxf>
              <fill>
                <patternFill>
                  <bgColor theme="9" tint="0.59996337778862885"/>
                </patternFill>
              </fill>
            </x14:dxf>
          </x14:cfRule>
          <xm:sqref>W7:W41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7"/>
  <sheetViews>
    <sheetView zoomScale="80" zoomScaleNormal="80" workbookViewId="0">
      <selection activeCell="G8" sqref="G8"/>
    </sheetView>
  </sheetViews>
  <sheetFormatPr baseColWidth="10" defaultColWidth="11.42578125" defaultRowHeight="15.75" x14ac:dyDescent="0.3"/>
  <cols>
    <col min="1" max="1" width="5.5703125" customWidth="1"/>
    <col min="2" max="2" width="12.7109375" bestFit="1" customWidth="1"/>
    <col min="3" max="4" width="0" hidden="1" customWidth="1"/>
    <col min="5" max="5" width="15.7109375" style="242" customWidth="1"/>
    <col min="6" max="6" width="6.28515625" customWidth="1"/>
    <col min="7" max="7" width="6" customWidth="1"/>
    <col min="8" max="9" width="11.5703125" bestFit="1" customWidth="1"/>
    <col min="10" max="10" width="0" hidden="1" customWidth="1"/>
    <col min="11" max="11" width="11.42578125" customWidth="1"/>
    <col min="12" max="12" width="0" hidden="1" customWidth="1"/>
    <col min="13" max="14" width="11.5703125" bestFit="1" customWidth="1"/>
    <col min="15" max="15" width="0" hidden="1" customWidth="1"/>
    <col min="17" max="19" width="0" hidden="1" customWidth="1"/>
    <col min="20" max="21" width="11.5703125" bestFit="1" customWidth="1"/>
    <col min="24" max="24" width="25.7109375" customWidth="1"/>
    <col min="25" max="46" width="11.5703125" hidden="1" customWidth="1"/>
    <col min="47" max="47" width="11.42578125" hidden="1" customWidth="1"/>
    <col min="49" max="49" width="13.7109375" customWidth="1"/>
    <col min="53" max="53" width="13" customWidth="1"/>
    <col min="54" max="54" width="18.140625" customWidth="1"/>
    <col min="55" max="57" width="11.5703125" hidden="1" customWidth="1"/>
    <col min="58" max="58" width="11.5703125" style="1" hidden="1" customWidth="1"/>
  </cols>
  <sheetData>
    <row r="1" spans="1:58" s="1" customFormat="1" thickBot="1" x14ac:dyDescent="0.35">
      <c r="A1" s="26"/>
      <c r="B1" s="47"/>
      <c r="C1" s="6"/>
      <c r="D1" s="6"/>
      <c r="E1" s="12"/>
      <c r="F1" s="66"/>
      <c r="G1" s="66"/>
      <c r="H1" s="26"/>
      <c r="I1" s="26"/>
      <c r="J1" s="6"/>
      <c r="K1" s="26"/>
      <c r="L1" s="6"/>
      <c r="M1" s="26"/>
      <c r="N1" s="26"/>
      <c r="O1" s="6"/>
      <c r="P1" s="26"/>
      <c r="Q1" s="6" t="s">
        <v>123</v>
      </c>
      <c r="R1" s="315" t="b">
        <v>0</v>
      </c>
      <c r="S1" s="6"/>
      <c r="T1" s="26"/>
      <c r="U1" s="26"/>
      <c r="V1" s="26"/>
      <c r="W1" s="26"/>
      <c r="X1" s="48"/>
      <c r="Y1" s="7"/>
      <c r="Z1" s="8"/>
      <c r="AA1" s="17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3"/>
      <c r="AO1" s="6"/>
      <c r="AP1" s="6"/>
      <c r="AQ1" s="6"/>
      <c r="AR1" s="6"/>
      <c r="AS1" s="6"/>
      <c r="AT1" s="14"/>
      <c r="AU1" s="14"/>
      <c r="AV1" s="26"/>
      <c r="AW1" s="26"/>
      <c r="AX1" s="26"/>
      <c r="AY1" s="26"/>
      <c r="AZ1" s="26"/>
      <c r="BA1" s="26"/>
      <c r="BC1" s="6"/>
      <c r="BD1" s="6"/>
      <c r="BE1" s="6"/>
    </row>
    <row r="2" spans="1:58" s="1" customFormat="1" ht="16.5" customHeight="1" x14ac:dyDescent="0.3">
      <c r="A2" s="26"/>
      <c r="B2" s="71" t="s">
        <v>1</v>
      </c>
      <c r="C2" s="222" t="str">
        <f>Name</f>
        <v>Max Mustermann</v>
      </c>
      <c r="D2" s="222"/>
      <c r="E2" s="466" t="str">
        <f>C2</f>
        <v>Max Mustermann</v>
      </c>
      <c r="F2" s="466"/>
      <c r="G2" s="466"/>
      <c r="H2" s="471" t="s">
        <v>7</v>
      </c>
      <c r="I2" s="471"/>
      <c r="J2" s="222"/>
      <c r="K2" s="69">
        <f>Personalnummer</f>
        <v>123456789</v>
      </c>
      <c r="L2" s="219"/>
      <c r="M2" s="26"/>
      <c r="N2" s="26"/>
      <c r="O2" s="219"/>
      <c r="P2" s="26"/>
      <c r="Q2" s="219"/>
      <c r="R2" s="219"/>
      <c r="S2" s="219"/>
      <c r="T2" s="26"/>
      <c r="U2" s="26"/>
      <c r="V2" s="26"/>
      <c r="W2" s="26"/>
      <c r="X2" s="48"/>
      <c r="Y2" s="221"/>
      <c r="Z2" s="295"/>
      <c r="AA2" s="296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474"/>
      <c r="AO2" s="474"/>
      <c r="AP2" s="474"/>
      <c r="AQ2" s="474"/>
      <c r="AR2" s="474"/>
      <c r="AS2" s="474"/>
      <c r="AT2" s="470" t="s">
        <v>124</v>
      </c>
      <c r="AU2" s="470"/>
      <c r="AV2" s="26"/>
      <c r="AW2" s="26"/>
      <c r="AX2" s="26"/>
      <c r="AY2" s="26"/>
      <c r="AZ2" s="26"/>
      <c r="BA2" s="26"/>
      <c r="BB2" s="29"/>
      <c r="BC2" s="219"/>
      <c r="BD2" s="219"/>
      <c r="BE2" s="219"/>
    </row>
    <row r="3" spans="1:58" s="1" customFormat="1" ht="16.5" customHeight="1" x14ac:dyDescent="0.3">
      <c r="A3" s="26"/>
      <c r="B3" s="72" t="s">
        <v>125</v>
      </c>
      <c r="C3" s="223">
        <f>Jahr</f>
        <v>42004</v>
      </c>
      <c r="D3" s="223"/>
      <c r="E3" s="468">
        <f>Jahr</f>
        <v>42004</v>
      </c>
      <c r="F3" s="468"/>
      <c r="G3" s="468"/>
      <c r="H3" s="472" t="s">
        <v>5</v>
      </c>
      <c r="I3" s="472"/>
      <c r="J3" s="224"/>
      <c r="K3" s="70">
        <f>Geburtstag</f>
        <v>16833</v>
      </c>
      <c r="L3" s="219"/>
      <c r="M3" s="26"/>
      <c r="N3" s="26"/>
      <c r="O3" s="219"/>
      <c r="P3" s="26"/>
      <c r="Q3" s="219"/>
      <c r="R3" s="219"/>
      <c r="S3" s="219"/>
      <c r="T3" s="26"/>
      <c r="U3" s="26"/>
      <c r="V3" s="26"/>
      <c r="W3" s="26"/>
      <c r="X3" s="48"/>
      <c r="Y3" s="221"/>
      <c r="Z3" s="295"/>
      <c r="AA3" s="475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474"/>
      <c r="AO3" s="474"/>
      <c r="AP3" s="474"/>
      <c r="AQ3" s="474"/>
      <c r="AR3" s="474"/>
      <c r="AS3" s="474"/>
      <c r="AT3" s="470"/>
      <c r="AU3" s="470"/>
      <c r="AV3" s="26"/>
      <c r="AW3" s="26"/>
      <c r="AX3" s="26"/>
      <c r="AY3" s="26"/>
      <c r="AZ3" s="26"/>
      <c r="BA3" s="26"/>
      <c r="BB3" s="29"/>
      <c r="BC3" s="219"/>
      <c r="BD3" s="219"/>
      <c r="BE3" s="219"/>
    </row>
    <row r="4" spans="1:58" s="1" customFormat="1" ht="16.5" customHeight="1" thickBot="1" x14ac:dyDescent="0.35">
      <c r="A4" s="26"/>
      <c r="B4" s="322" t="s">
        <v>126</v>
      </c>
      <c r="C4" s="323">
        <f>Jahr</f>
        <v>42004</v>
      </c>
      <c r="D4" s="323"/>
      <c r="E4" s="467">
        <f>B8</f>
        <v>42155</v>
      </c>
      <c r="F4" s="467"/>
      <c r="G4" s="467"/>
      <c r="H4" s="324"/>
      <c r="I4" s="324"/>
      <c r="J4" s="325"/>
      <c r="K4" s="326"/>
      <c r="L4" s="219"/>
      <c r="M4" s="26"/>
      <c r="N4" s="26"/>
      <c r="O4" s="219"/>
      <c r="P4" s="26"/>
      <c r="Q4" s="219"/>
      <c r="R4" s="219"/>
      <c r="S4" s="219"/>
      <c r="T4" s="26"/>
      <c r="U4" s="26"/>
      <c r="V4" s="26"/>
      <c r="W4" s="26"/>
      <c r="X4" s="48"/>
      <c r="Y4" s="221"/>
      <c r="Z4" s="295"/>
      <c r="AA4" s="475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474"/>
      <c r="AO4" s="474"/>
      <c r="AP4" s="474"/>
      <c r="AQ4" s="474"/>
      <c r="AR4" s="474"/>
      <c r="AS4" s="474"/>
      <c r="AT4" s="470"/>
      <c r="AU4" s="470"/>
      <c r="AV4" s="26"/>
      <c r="AW4" s="26"/>
      <c r="AX4" s="26"/>
      <c r="AY4" s="26"/>
      <c r="AZ4" s="26"/>
      <c r="BA4" s="26"/>
      <c r="BB4" s="29"/>
      <c r="BC4" s="219"/>
      <c r="BD4" s="219"/>
      <c r="BE4" s="219"/>
    </row>
    <row r="5" spans="1:58" s="1" customFormat="1" ht="15" x14ac:dyDescent="0.3">
      <c r="A5" s="26"/>
      <c r="B5" s="73"/>
      <c r="C5" s="225"/>
      <c r="D5" s="225"/>
      <c r="E5" s="67"/>
      <c r="F5" s="67"/>
      <c r="G5" s="67"/>
      <c r="H5" s="68"/>
      <c r="I5" s="68"/>
      <c r="J5" s="226"/>
      <c r="K5" s="68"/>
      <c r="L5" s="219"/>
      <c r="M5" s="26"/>
      <c r="N5" s="26"/>
      <c r="O5" s="219"/>
      <c r="P5" s="26"/>
      <c r="Q5" s="219"/>
      <c r="R5" s="219"/>
      <c r="S5" s="219"/>
      <c r="T5" s="26"/>
      <c r="U5" s="26"/>
      <c r="V5" s="26"/>
      <c r="W5" s="26"/>
      <c r="X5" s="48"/>
      <c r="Y5" s="221"/>
      <c r="Z5" s="295"/>
      <c r="AA5" s="475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73"/>
      <c r="AO5" s="273"/>
      <c r="AP5" s="273"/>
      <c r="AQ5" s="273"/>
      <c r="AR5" s="273"/>
      <c r="AS5" s="273"/>
      <c r="AT5" s="272"/>
      <c r="AU5" s="272"/>
      <c r="AV5" s="26"/>
      <c r="AW5" s="26"/>
      <c r="AX5" s="26"/>
      <c r="AY5" s="26"/>
      <c r="AZ5" s="26"/>
      <c r="BA5" s="26"/>
      <c r="BB5" s="29"/>
      <c r="BC5" s="219"/>
      <c r="BD5" s="219"/>
      <c r="BE5" s="219"/>
    </row>
    <row r="6" spans="1:58" s="1" customFormat="1" ht="27.6" customHeight="1" x14ac:dyDescent="0.3">
      <c r="A6" s="227"/>
      <c r="B6" s="86"/>
      <c r="C6" s="228" t="s">
        <v>127</v>
      </c>
      <c r="D6" s="228" t="s">
        <v>81</v>
      </c>
      <c r="E6" s="297"/>
      <c r="F6" s="465" t="s">
        <v>128</v>
      </c>
      <c r="G6" s="476" t="s">
        <v>129</v>
      </c>
      <c r="H6" s="462" t="s">
        <v>130</v>
      </c>
      <c r="I6" s="464"/>
      <c r="J6" s="464"/>
      <c r="K6" s="464"/>
      <c r="L6" s="464"/>
      <c r="M6" s="464"/>
      <c r="N6" s="464"/>
      <c r="O6" s="464"/>
      <c r="P6" s="464"/>
      <c r="Q6" s="228" t="s">
        <v>131</v>
      </c>
      <c r="R6" s="228">
        <v>0</v>
      </c>
      <c r="S6" s="228">
        <v>1</v>
      </c>
      <c r="T6" s="84"/>
      <c r="U6" s="84"/>
      <c r="V6" s="84"/>
      <c r="W6" s="85"/>
      <c r="X6" s="291"/>
      <c r="Y6" s="221"/>
      <c r="Z6" s="295"/>
      <c r="AA6" s="475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473" t="s">
        <v>82</v>
      </c>
      <c r="AO6" s="473"/>
      <c r="AP6" s="473"/>
      <c r="AQ6" s="473"/>
      <c r="AR6" s="473"/>
      <c r="AS6" s="473"/>
      <c r="AT6" s="469" t="s">
        <v>70</v>
      </c>
      <c r="AU6" s="469"/>
      <c r="AV6" s="462" t="s">
        <v>105</v>
      </c>
      <c r="AW6" s="463"/>
      <c r="AX6" s="462" t="s">
        <v>132</v>
      </c>
      <c r="AY6" s="464"/>
      <c r="AZ6" s="464"/>
      <c r="BA6" s="465"/>
      <c r="BB6" s="211" t="s">
        <v>133</v>
      </c>
      <c r="BC6" s="219" t="s">
        <v>134</v>
      </c>
      <c r="BD6" s="219"/>
      <c r="BE6" s="219"/>
    </row>
    <row r="7" spans="1:58" s="290" customFormat="1" ht="39" customHeight="1" x14ac:dyDescent="0.25">
      <c r="A7" s="279" t="s">
        <v>135</v>
      </c>
      <c r="B7" s="274" t="s">
        <v>80</v>
      </c>
      <c r="C7" s="281"/>
      <c r="D7" s="281"/>
      <c r="E7" s="241" t="s">
        <v>136</v>
      </c>
      <c r="F7" s="478"/>
      <c r="G7" s="477"/>
      <c r="H7" s="275" t="s">
        <v>137</v>
      </c>
      <c r="I7" s="276" t="s">
        <v>138</v>
      </c>
      <c r="J7" s="282" t="s">
        <v>139</v>
      </c>
      <c r="K7" s="277" t="s">
        <v>140</v>
      </c>
      <c r="L7" s="281" t="s">
        <v>141</v>
      </c>
      <c r="M7" s="275" t="s">
        <v>142</v>
      </c>
      <c r="N7" s="276" t="s">
        <v>143</v>
      </c>
      <c r="O7" s="282" t="s">
        <v>144</v>
      </c>
      <c r="P7" s="277" t="s">
        <v>145</v>
      </c>
      <c r="Q7" s="281" t="s">
        <v>146</v>
      </c>
      <c r="R7" s="281" t="s">
        <v>147</v>
      </c>
      <c r="S7" s="281" t="s">
        <v>148</v>
      </c>
      <c r="T7" s="211" t="s">
        <v>149</v>
      </c>
      <c r="U7" s="211" t="s">
        <v>150</v>
      </c>
      <c r="V7" s="275" t="s">
        <v>151</v>
      </c>
      <c r="W7" s="278" t="s">
        <v>152</v>
      </c>
      <c r="X7" s="278" t="s">
        <v>153</v>
      </c>
      <c r="Y7" s="283" t="s">
        <v>154</v>
      </c>
      <c r="Z7" s="284" t="s">
        <v>155</v>
      </c>
      <c r="AA7" s="285" t="s">
        <v>134</v>
      </c>
      <c r="AB7" s="286" t="s">
        <v>49</v>
      </c>
      <c r="AC7" s="286" t="s">
        <v>59</v>
      </c>
      <c r="AD7" s="286" t="s">
        <v>57</v>
      </c>
      <c r="AE7" s="286" t="s">
        <v>55</v>
      </c>
      <c r="AF7" s="286" t="s">
        <v>156</v>
      </c>
      <c r="AG7" s="286" t="s">
        <v>157</v>
      </c>
      <c r="AH7" s="286" t="s">
        <v>61</v>
      </c>
      <c r="AI7" s="286" t="s">
        <v>65</v>
      </c>
      <c r="AJ7" s="286" t="s">
        <v>74</v>
      </c>
      <c r="AK7" s="286" t="s">
        <v>76</v>
      </c>
      <c r="AL7" s="286" t="s">
        <v>158</v>
      </c>
      <c r="AM7" s="286" t="s">
        <v>78</v>
      </c>
      <c r="AN7" s="287" t="s">
        <v>159</v>
      </c>
      <c r="AO7" s="286" t="s">
        <v>160</v>
      </c>
      <c r="AP7" s="286" t="s">
        <v>81</v>
      </c>
      <c r="AQ7" s="286" t="s">
        <v>161</v>
      </c>
      <c r="AR7" s="286" t="s">
        <v>162</v>
      </c>
      <c r="AS7" s="286" t="s">
        <v>39</v>
      </c>
      <c r="AT7" s="288" t="s">
        <v>163</v>
      </c>
      <c r="AU7" s="288" t="s">
        <v>164</v>
      </c>
      <c r="AV7" s="279" t="s">
        <v>165</v>
      </c>
      <c r="AW7" s="280" t="s">
        <v>166</v>
      </c>
      <c r="AX7" s="279" t="s">
        <v>38</v>
      </c>
      <c r="AY7" s="241" t="s">
        <v>39</v>
      </c>
      <c r="AZ7" s="241" t="s">
        <v>81</v>
      </c>
      <c r="BA7" s="280" t="s">
        <v>167</v>
      </c>
      <c r="BB7" s="280" t="s">
        <v>167</v>
      </c>
      <c r="BC7" s="289" t="s">
        <v>165</v>
      </c>
      <c r="BD7" s="289" t="s">
        <v>168</v>
      </c>
      <c r="BE7" s="289" t="s">
        <v>169</v>
      </c>
      <c r="BF7" s="290" t="s">
        <v>170</v>
      </c>
    </row>
    <row r="8" spans="1:58" s="1" customFormat="1" ht="15" x14ac:dyDescent="0.3">
      <c r="A8" s="218">
        <f t="shared" ref="A8:A37" si="0">WEEKNUM(B8)</f>
        <v>22</v>
      </c>
      <c r="B8" s="47">
        <f>Mai!B38+1</f>
        <v>42155</v>
      </c>
      <c r="C8" s="219">
        <f t="shared" ref="C8:C37" si="1">NETWORKDAYS(B8,B8,Feiertage)</f>
        <v>0</v>
      </c>
      <c r="D8" s="220" t="str">
        <f t="shared" ref="D8:D37" si="2">IF(ISERROR(VLOOKUP(B8,Feiertage_ganz,4,FALSE)),"",(VLOOKUP(B8,Feiertage_ganz,4,FALSE)))</f>
        <v/>
      </c>
      <c r="E8" s="298" t="str">
        <f t="shared" ref="E8:E37" si="3">D8</f>
        <v/>
      </c>
      <c r="F8" s="87">
        <f t="shared" ref="F8:F37" si="4">B8</f>
        <v>42155</v>
      </c>
      <c r="G8" s="147"/>
      <c r="H8" s="214"/>
      <c r="I8" s="75"/>
      <c r="J8" s="221">
        <f t="shared" ref="J8:J37" si="5">I8-H8</f>
        <v>0</v>
      </c>
      <c r="K8" s="76"/>
      <c r="L8" s="221">
        <f>IF(J8-K8&gt;Pause_9,Pause_9p,IF(J8-K8&gt;Pause_6,Pause_6p,0))</f>
        <v>0</v>
      </c>
      <c r="M8" s="74"/>
      <c r="N8" s="75"/>
      <c r="O8" s="221">
        <f t="shared" ref="O8:O37" si="6">N8-M8</f>
        <v>0</v>
      </c>
      <c r="P8" s="76"/>
      <c r="Q8" s="221">
        <f>IF(O8-P8&gt;Pause_9,Pause_9p,IF(O8-P8&gt;Pause_6,Pause_6p,0))</f>
        <v>0</v>
      </c>
      <c r="R8" s="221">
        <f>IF(J8+O8-K8-P8&gt;Pause_9,Pause_9p,IF(J8+O8-K8-P8&gt;Pause_6,Pause_6p,0))</f>
        <v>0</v>
      </c>
      <c r="S8" s="221">
        <f t="shared" ref="S8:S37" si="7">IF(M8&gt;I8,IF(M8-I8+K8+P8&gt;=R8,K8+P8,R8),IF(K8+P8&gt;=R8,K8+P8,R8))</f>
        <v>0</v>
      </c>
      <c r="T8" s="79">
        <f t="shared" ref="T8:T37" si="8">IF(I8&lt;=M8,I8-H8+N8-M8,IF(I8&lt;=N8,N8-H8,I8-H8))</f>
        <v>0</v>
      </c>
      <c r="U8" s="79">
        <f>ROUND(T8-S8,10)</f>
        <v>0</v>
      </c>
      <c r="V8" s="80">
        <f t="shared" ref="V8:V37" ca="1" si="9">ROUND(IF(AND(D8&lt;&gt;"",G8=""),IF(ISERROR(VLOOKUP(B8,Feiertage,3,FALSE)),0,Z8),IF(B8="",0,IF(G8&lt;&gt;"",IF(UPPER(G8)=VLOOKUP(UPPER(G8),Code,1,FALSE),VLOOKUP(G8,Code,2,FALSE)*Z8,Z8),Z8))),10)</f>
        <v>0</v>
      </c>
      <c r="W8" s="249" t="str">
        <f t="shared" ref="W8:W37" ca="1" si="10">IF(OR(AND(VLOOKUP(UPPER(G8),Code,3,FALSE)=2,U8&gt;V8),AND(I8&lt;&gt;0,B8&lt;&gt;"",G8=""),VLOOKUP(UPPER(G8),Code,3,FALSE)=1),U8-V8,"")</f>
        <v/>
      </c>
      <c r="X8" s="292"/>
      <c r="Y8" s="221">
        <f t="shared" ref="Y8:Y37" si="11">IF(G8&lt;&gt;"",IF(VLOOKUP(G8,Code,2,FALSE)=2,U8,IF(AND(VLOOKUP(G8,Code,2,FALSE)=1,U8&gt;Z8),U8,0)),0)</f>
        <v>0</v>
      </c>
      <c r="Z8" s="299">
        <f ca="1">IF(B8="","",INDIRECT(ADDRESS(MATCH(B8,Soll_AZ,1)+MATCH("Arbeitszeit 1 ab",Voreinstellung_Übersicht!B:B,0)-1,WEEKDAY(B8,2)+4,,,"Voreinstellung_Übersicht"),TRUE))</f>
        <v>0</v>
      </c>
      <c r="AA8" s="300">
        <f ca="1">IF(W8="",Übertrag_Mehrarbeit,Übertrag_Mehrarbeit+W8)</f>
        <v>0</v>
      </c>
      <c r="AB8" s="219">
        <f t="shared" ref="AB8:AB37" si="12">IF(AND($G8&lt;&gt;0,IF(ISERROR(VLOOKUP($G8,Code,1,FALSE)),FALSE,VLOOKUP($G8,Code,1,FALSE)="U"),$C8=1),1,0)</f>
        <v>0</v>
      </c>
      <c r="AC8" s="219">
        <f t="shared" ref="AC8:AC37" si="13">IF(AND($G8&lt;&gt;0,IF(ISERROR(VLOOKUP($G8,Code,1,FALSE)),FALSE,VLOOKUP($G8,Code,1,FALSE))="WB"),1,0)</f>
        <v>0</v>
      </c>
      <c r="AD8" s="219">
        <f t="shared" ref="AD8:AD37" si="14">IF(AND($G8&lt;&gt;0,IF(ISERROR(VLOOKUP($G8,Code,1,FALSE)),FALSE,VLOOKUP($G8,Code,1,FALSE))="DR",$C8=1),1,0)</f>
        <v>0</v>
      </c>
      <c r="AE8" s="219">
        <f t="shared" ref="AE8:AE37" si="15">IF(AND($G8&lt;&gt;0,IF(ISERROR(VLOOKUP($G8,Code,1,FALSE)),FALSE,VLOOKUP($G8,Code,1,FALSE))="KK",$C8=1),1,0)</f>
        <v>0</v>
      </c>
      <c r="AF8" s="219">
        <f t="shared" ref="AF8:AF37" si="16">IF(AND($G8&lt;&gt;0,IF(ISERROR(VLOOKUP($G8,Code,1,FALSE)),FALSE,VLOOKUP($G8,Code,1,FALSE))="K",$C8=1),1,0)</f>
        <v>0</v>
      </c>
      <c r="AG8" s="219">
        <f t="shared" ref="AG8:AG37" si="17">IF(AND($G8&lt;&gt;0,IF(ISERROR(VLOOKUP($G8,Code,1,FALSE)),FALSE,VLOOKUP($G8,Code,1,FALSE))="KZT"),1,0)</f>
        <v>0</v>
      </c>
      <c r="AH8" s="219">
        <f t="shared" ref="AH8:AH37" si="18">IF(AND($G8&lt;&gt;0,IF(ISERROR(VLOOKUP($G8,Code,1,FALSE)),FALSE,VLOOKUP($G8,Code,1,FALSE))="mEG",$C8=1),1,0)</f>
        <v>0</v>
      </c>
      <c r="AI8" s="219">
        <f t="shared" ref="AI8:AI37" si="19">IF(AND($G8&lt;&gt;0,IF(ISERROR(VLOOKUP($G8,Code,1,FALSE)),FALSE,VLOOKUP($G8,Code,1,FALSE))="Ku"),1,0)</f>
        <v>0</v>
      </c>
      <c r="AJ8" s="219">
        <f t="shared" ref="AJ8:AJ37" si="20">IF(AND($G8&lt;&gt;0,IF(ISERROR(VLOOKUP($G8,Code,1,FALSE)),FALSE,VLOOKUP($G8,Code,1,FALSE))="§29(1)",$C8=1),1,0)</f>
        <v>0</v>
      </c>
      <c r="AK8" s="219">
        <f t="shared" ref="AK8:AK37" si="21">IF(AND($G8&lt;&gt;0,IF(ISERROR(VLOOKUP($G8,Code,1,FALSE)),FALSE,VLOOKUP($G8,Code,1,FALSE))="§29(2)",$C8=1),1,0)</f>
        <v>0</v>
      </c>
      <c r="AL8" s="219">
        <f t="shared" ref="AL8:AL37" si="22">IF(AND($G8&lt;&gt;0,IF(ISERROR(VLOOKUP($G8,Code,1,FALSE)),FALSE,VLOOKUP($G8,Code,1,FALSE))="§29(3)",$C8=1),1,0)</f>
        <v>0</v>
      </c>
      <c r="AM8" s="219">
        <f t="shared" ref="AM8:AM37" si="23">IF(AND($G8&lt;&gt;0,IF(ISERROR(VLOOKUP($G8,Code,1,FALSE)),FALSE,VLOOKUP($G8,Code,1,FALSE))="§29(4)",$C8=1),1,0)</f>
        <v>0</v>
      </c>
      <c r="AN8" s="301">
        <f t="shared" ref="AN8:AN37" si="24">IF(OR(AND(H8&lt;Nacht_6,I8-K8&lt;=Nacht_6),AND(I8&gt;Nacht_22,H8+K8&gt;=Nacht_22)),I8-H8-K8,IF(H8&lt;Nacht_6,IF(I8&gt;Nacht_22,Nacht_6-H8+I8-Nacht_22,Nacht_6-H8),IF(I8&gt;Nacht_22,I8-Nacht_22,0)))</f>
        <v>0</v>
      </c>
      <c r="AO8" s="301">
        <f t="shared" ref="AO8:AO37" si="25">IF(OR(AND(M8&lt;Nacht_6,N8-P8&lt;=Nacht_6),AND(N8&gt;Nacht_22,M8+P8&gt;=Nacht_22)),N8-M8-P8,IF(M8&lt;Nacht_6,IF(N8&gt;Nacht_22,Nacht_6-M8+N8-Nacht_22,Nacht_6-M8),IF(N8&gt;Nacht_22,N8-Nacht_22,0)))</f>
        <v>0</v>
      </c>
      <c r="AP8" s="301">
        <f t="shared" ref="AP8:AP37" si="26">IF(ISERROR(VLOOKUP(B8,Feiertage_ganz,3,FALSE)),0,IF(VLOOKUP(B8,Feiertage_ganz,3,FALSE)=1,U8,0))</f>
        <v>0</v>
      </c>
      <c r="AQ8" s="301">
        <f t="shared" ref="AQ8:AQ37" si="27">IF(OR(I8&lt;=Samstagszuschlag,H8&gt;=Nacht_22),0,IF(H8&lt;=Samstagszuschlag,IF(I8&lt;=Nacht_22,I8-Samstagszuschlag,Nacht_22-Samstagszuschlag),IF(I8&lt;=Nacht_22,I8-H8,Nacht_22-H8)))</f>
        <v>0</v>
      </c>
      <c r="AR8" s="301">
        <f t="shared" ref="AR8:AR37" si="28">IF(OR(N8&lt;=Samstagszuschlag,M8&lt;=Nacht_22),0,IF(M8&lt;=Samstagszuschlag,IF(N8&lt;=Nacht_22,N8-Samstagszuschlag,Nacht_22-Samstagszuschlag),IF(N8&lt;=Nacht_22,N8-M8,Nacht_22-M8)))</f>
        <v>0</v>
      </c>
      <c r="AS8" s="301">
        <f t="shared" ref="AS8:AS37" si="29">IF(WEEKDAY(B8,2)=7,U8,0)</f>
        <v>0</v>
      </c>
      <c r="AT8" s="302">
        <f t="shared" ref="AT8:AT37" si="30">IF(ISERROR(VLOOKUP(G8,Code_Liste,1,FALSE)),0,I8-H8)</f>
        <v>0</v>
      </c>
      <c r="AU8" s="302">
        <f t="shared" ref="AU8:AU37" si="31">IF(ISERROR(VLOOKUP(G8,Code_Liste,1,FALSE)),0,N8-M8)</f>
        <v>0</v>
      </c>
      <c r="AV8" s="81">
        <f t="shared" ref="AV8:AV37" si="32">SUM(AN8:AO8)</f>
        <v>0</v>
      </c>
      <c r="AW8" s="82">
        <f t="shared" ref="AW8:AW37" si="33">AV8*Zuschlag_Nacht/100</f>
        <v>0</v>
      </c>
      <c r="AX8" s="81">
        <f t="shared" ref="AX8:AX37" si="34">IF(WEEKDAY(B8,2)=6,AQ8+AR8,0)</f>
        <v>0</v>
      </c>
      <c r="AY8" s="83">
        <f t="shared" ref="AY8:AY37" si="35">AS8</f>
        <v>0</v>
      </c>
      <c r="AZ8" s="83">
        <f t="shared" ref="AZ8:AZ37" si="36">AP8</f>
        <v>0</v>
      </c>
      <c r="BA8" s="82">
        <f>IF(OR(B8=Feiertage!$A$16,B8=Feiertage!$A$19),U8*Zuschläge_24_31/100,IF(AZ8&gt;0,AZ8*Feiertag_mit/100,IF(AX8&gt;0,AX8*Zuschläge_Sa/100,IF(AY8&gt;0,AY8*Zuschlag_So/100,0))))</f>
        <v>0</v>
      </c>
      <c r="BB8" s="82">
        <f>IF(AND(B8&lt;&gt;0,G8=Voreinstellung_Übersicht!$D$41),IF(EG=1,W8*Über_klein/100,IF(EG=2,W8*Über_groß/100,"Fehler")),0)</f>
        <v>0</v>
      </c>
      <c r="BC8" s="299">
        <f ca="1">Mai!BC39</f>
        <v>0</v>
      </c>
      <c r="BD8" s="219">
        <f t="shared" ref="BD8:BD37" ca="1" si="37">IF(OR(AND(BC8&gt;=0,BC8&lt;=(grün_plus*BE8/100%)),AND(BC8&lt;=0,BC8&gt;=(grün_minus*BE8/100%))),1,IF(OR(AND(BC8&gt;0,BC8&lt;=(gelb_plus*BE8/100%)),AND(BC8&lt;0,BC8&gt;=(gelb_minus*BE8/100%))),2,3))</f>
        <v>1</v>
      </c>
      <c r="BE8" s="303">
        <f ca="1">IF(B8="","",INDIRECT(ADDRESS(MATCH(B8,Soll_AZ,1)+MATCH("Arbeitszeit 1 ab",Voreinstellung_Übersicht!B:B,0)-1,4,,,"Voreinstellung_Übersicht"),TRUE))</f>
        <v>1.6666666666666665</v>
      </c>
      <c r="BF8" s="1">
        <f>IF(OR(G8="WB",G8="DR",U8&gt;0),1,0)</f>
        <v>0</v>
      </c>
    </row>
    <row r="9" spans="1:58" s="1" customFormat="1" ht="15" x14ac:dyDescent="0.3">
      <c r="A9" s="218">
        <f t="shared" si="0"/>
        <v>23</v>
      </c>
      <c r="B9" s="47">
        <f t="shared" ref="B9:B37" si="38">B8+1</f>
        <v>42156</v>
      </c>
      <c r="C9" s="219">
        <f t="shared" si="1"/>
        <v>0</v>
      </c>
      <c r="D9" s="220" t="str">
        <f t="shared" si="2"/>
        <v/>
      </c>
      <c r="E9" s="298" t="str">
        <f t="shared" si="3"/>
        <v/>
      </c>
      <c r="F9" s="87">
        <f t="shared" si="4"/>
        <v>42156</v>
      </c>
      <c r="G9" s="147"/>
      <c r="H9" s="74"/>
      <c r="I9" s="75"/>
      <c r="J9" s="221">
        <f t="shared" si="5"/>
        <v>0</v>
      </c>
      <c r="K9" s="76"/>
      <c r="L9" s="221">
        <f>IF(J9-K9&gt;Pause_9,Pause_9p,IF(J9-K9&gt;Pause_6,Pause_6p,0))</f>
        <v>0</v>
      </c>
      <c r="M9" s="74"/>
      <c r="N9" s="75"/>
      <c r="O9" s="221">
        <f t="shared" si="6"/>
        <v>0</v>
      </c>
      <c r="P9" s="76"/>
      <c r="Q9" s="221">
        <f>IF(O9-P9&gt;Pause_9,Pause_9p,IF(O9-P9&gt;Pause_6,Pause_6p,0))</f>
        <v>0</v>
      </c>
      <c r="R9" s="221">
        <f>IF(J9+O9-K9-P9&gt;Pause_9,Pause_9p,IF(J9+O9-K9-P9&gt;Pause_6,Pause_6p,0))</f>
        <v>0</v>
      </c>
      <c r="S9" s="221">
        <f t="shared" si="7"/>
        <v>0</v>
      </c>
      <c r="T9" s="79">
        <f t="shared" si="8"/>
        <v>0</v>
      </c>
      <c r="U9" s="79">
        <f t="shared" ref="U9:U37" si="39">ROUND(T9-S9,10)</f>
        <v>0</v>
      </c>
      <c r="V9" s="80">
        <f t="shared" ca="1" si="9"/>
        <v>0</v>
      </c>
      <c r="W9" s="249" t="str">
        <f t="shared" ca="1" si="10"/>
        <v/>
      </c>
      <c r="X9" s="293"/>
      <c r="Y9" s="221">
        <f t="shared" si="11"/>
        <v>0</v>
      </c>
      <c r="Z9" s="299">
        <f ca="1">IF(B9="","",INDIRECT(ADDRESS(MATCH(B9,Soll_AZ,1)+MATCH("Arbeitszeit 1 ab",Voreinstellung_Übersicht!B:B,0)-1,WEEKDAY(B9,2)+4,,,"Voreinstellung_Übersicht"),TRUE))</f>
        <v>0</v>
      </c>
      <c r="AA9" s="300">
        <f t="shared" ref="AA9:AA37" ca="1" si="40">IF(W9="",AA8,AA8+W9)</f>
        <v>0</v>
      </c>
      <c r="AB9" s="219">
        <f t="shared" si="12"/>
        <v>0</v>
      </c>
      <c r="AC9" s="219">
        <f t="shared" si="13"/>
        <v>0</v>
      </c>
      <c r="AD9" s="219">
        <f t="shared" si="14"/>
        <v>0</v>
      </c>
      <c r="AE9" s="219">
        <f t="shared" si="15"/>
        <v>0</v>
      </c>
      <c r="AF9" s="219">
        <f t="shared" si="16"/>
        <v>0</v>
      </c>
      <c r="AG9" s="219">
        <f t="shared" si="17"/>
        <v>0</v>
      </c>
      <c r="AH9" s="219">
        <f t="shared" si="18"/>
        <v>0</v>
      </c>
      <c r="AI9" s="219">
        <f t="shared" si="19"/>
        <v>0</v>
      </c>
      <c r="AJ9" s="219">
        <f t="shared" si="20"/>
        <v>0</v>
      </c>
      <c r="AK9" s="219">
        <f t="shared" si="21"/>
        <v>0</v>
      </c>
      <c r="AL9" s="219">
        <f t="shared" si="22"/>
        <v>0</v>
      </c>
      <c r="AM9" s="219">
        <f t="shared" si="23"/>
        <v>0</v>
      </c>
      <c r="AN9" s="301">
        <f t="shared" si="24"/>
        <v>0</v>
      </c>
      <c r="AO9" s="301">
        <f t="shared" si="25"/>
        <v>0</v>
      </c>
      <c r="AP9" s="301">
        <f t="shared" si="26"/>
        <v>0</v>
      </c>
      <c r="AQ9" s="301">
        <f t="shared" si="27"/>
        <v>0</v>
      </c>
      <c r="AR9" s="301">
        <f t="shared" si="28"/>
        <v>0</v>
      </c>
      <c r="AS9" s="301">
        <f t="shared" si="29"/>
        <v>0</v>
      </c>
      <c r="AT9" s="302">
        <f t="shared" si="30"/>
        <v>0</v>
      </c>
      <c r="AU9" s="302">
        <f t="shared" si="31"/>
        <v>0</v>
      </c>
      <c r="AV9" s="81">
        <f t="shared" si="32"/>
        <v>0</v>
      </c>
      <c r="AW9" s="82">
        <f t="shared" si="33"/>
        <v>0</v>
      </c>
      <c r="AX9" s="81">
        <f t="shared" si="34"/>
        <v>0</v>
      </c>
      <c r="AY9" s="83">
        <f t="shared" si="35"/>
        <v>0</v>
      </c>
      <c r="AZ9" s="83">
        <f t="shared" si="36"/>
        <v>0</v>
      </c>
      <c r="BA9" s="82">
        <f>IF(OR(B9=Feiertage!$A$16,B9=Feiertage!$A$19),U9*Zuschläge_24_31/100,IF(AZ9&gt;0,AZ9*Feiertag_mit/100,IF(AX9&gt;0,AX9*Zuschläge_Sa/100,IF(AY9&gt;0,AY9*Zuschlag_So/100,0))))</f>
        <v>0</v>
      </c>
      <c r="BB9" s="82">
        <f>IF(AND(B9&lt;&gt;0,G9=Voreinstellung_Übersicht!$D$41),IF(EG=1,W9*Über_klein/100,IF(EG=2,W9*Über_groß/100,"Fehler")),0)</f>
        <v>0</v>
      </c>
      <c r="BC9" s="299">
        <f t="shared" ref="BC9:BC38" ca="1" si="41">IF(W9="",BC8,BC8+W9)</f>
        <v>0</v>
      </c>
      <c r="BD9" s="219">
        <f t="shared" ca="1" si="37"/>
        <v>1</v>
      </c>
      <c r="BE9" s="303">
        <f ca="1">IF(B9="","",INDIRECT(ADDRESS(MATCH(B9,Soll_AZ,1)+MATCH("Arbeitszeit 1 ab",Voreinstellung_Übersicht!B:B,0)-1,4,,,"Voreinstellung_Übersicht"),TRUE))</f>
        <v>1.6666666666666665</v>
      </c>
      <c r="BF9" s="1">
        <f t="shared" ref="BF9:BF38" si="42">IF(OR(G9="WB",G9="DR",U9&gt;0),1,0)</f>
        <v>0</v>
      </c>
    </row>
    <row r="10" spans="1:58" s="1" customFormat="1" ht="15" x14ac:dyDescent="0.3">
      <c r="A10" s="218">
        <f t="shared" si="0"/>
        <v>23</v>
      </c>
      <c r="B10" s="47">
        <f t="shared" si="38"/>
        <v>42157</v>
      </c>
      <c r="C10" s="219">
        <f t="shared" si="1"/>
        <v>1</v>
      </c>
      <c r="D10" s="220" t="str">
        <f t="shared" si="2"/>
        <v/>
      </c>
      <c r="E10" s="298" t="str">
        <f t="shared" si="3"/>
        <v/>
      </c>
      <c r="F10" s="87">
        <f t="shared" si="4"/>
        <v>42157</v>
      </c>
      <c r="G10" s="147"/>
      <c r="H10" s="74"/>
      <c r="I10" s="75"/>
      <c r="J10" s="221">
        <f t="shared" si="5"/>
        <v>0</v>
      </c>
      <c r="K10" s="76"/>
      <c r="L10" s="221">
        <f>IF(J10-K10&gt;=Pause_9,Pause_9p,IF(J10-K10&gt;=Pause_6,Pause_6p,0))</f>
        <v>0</v>
      </c>
      <c r="M10" s="74"/>
      <c r="N10" s="75"/>
      <c r="O10" s="221">
        <f t="shared" si="6"/>
        <v>0</v>
      </c>
      <c r="P10" s="76"/>
      <c r="Q10" s="221">
        <f>IF(O10-P10&gt;Pause_9,Pause_9p,IF(O10-P10&gt;Pause_6,Pause_6p,0))</f>
        <v>0</v>
      </c>
      <c r="R10" s="221">
        <f>IF(J10+O10-K10-P10&gt;Pause_9,Pause_9p,IF(J10+O10-K10-P10&gt;Pause_6,Pause_6p,0))</f>
        <v>0</v>
      </c>
      <c r="S10" s="221">
        <f t="shared" si="7"/>
        <v>0</v>
      </c>
      <c r="T10" s="79">
        <f t="shared" si="8"/>
        <v>0</v>
      </c>
      <c r="U10" s="79">
        <f t="shared" si="39"/>
        <v>0</v>
      </c>
      <c r="V10" s="80">
        <f t="shared" ca="1" si="9"/>
        <v>0.33333333329999998</v>
      </c>
      <c r="W10" s="249" t="str">
        <f t="shared" ca="1" si="10"/>
        <v/>
      </c>
      <c r="X10" s="293"/>
      <c r="Y10" s="221">
        <f t="shared" si="11"/>
        <v>0</v>
      </c>
      <c r="Z10" s="299">
        <f ca="1">IF(B10="","",INDIRECT(ADDRESS(MATCH(B10,Soll_AZ,1)+MATCH("Arbeitszeit 1 ab",Voreinstellung_Übersicht!B:B,0)-1,WEEKDAY(B10,2)+4,,,"Voreinstellung_Übersicht"),TRUE))</f>
        <v>0.33333333333333331</v>
      </c>
      <c r="AA10" s="300">
        <f t="shared" ca="1" si="40"/>
        <v>0</v>
      </c>
      <c r="AB10" s="219">
        <f t="shared" si="12"/>
        <v>0</v>
      </c>
      <c r="AC10" s="219">
        <f t="shared" si="13"/>
        <v>0</v>
      </c>
      <c r="AD10" s="219">
        <f t="shared" si="14"/>
        <v>0</v>
      </c>
      <c r="AE10" s="219">
        <f t="shared" si="15"/>
        <v>0</v>
      </c>
      <c r="AF10" s="219">
        <f t="shared" si="16"/>
        <v>0</v>
      </c>
      <c r="AG10" s="219">
        <f t="shared" si="17"/>
        <v>0</v>
      </c>
      <c r="AH10" s="219">
        <f t="shared" si="18"/>
        <v>0</v>
      </c>
      <c r="AI10" s="219">
        <f t="shared" si="19"/>
        <v>0</v>
      </c>
      <c r="AJ10" s="219">
        <f t="shared" si="20"/>
        <v>0</v>
      </c>
      <c r="AK10" s="219">
        <f t="shared" si="21"/>
        <v>0</v>
      </c>
      <c r="AL10" s="219">
        <f t="shared" si="22"/>
        <v>0</v>
      </c>
      <c r="AM10" s="219">
        <f t="shared" si="23"/>
        <v>0</v>
      </c>
      <c r="AN10" s="301">
        <f t="shared" si="24"/>
        <v>0</v>
      </c>
      <c r="AO10" s="301">
        <f t="shared" si="25"/>
        <v>0</v>
      </c>
      <c r="AP10" s="301">
        <f t="shared" si="26"/>
        <v>0</v>
      </c>
      <c r="AQ10" s="301">
        <f t="shared" si="27"/>
        <v>0</v>
      </c>
      <c r="AR10" s="301">
        <f t="shared" si="28"/>
        <v>0</v>
      </c>
      <c r="AS10" s="301">
        <f t="shared" si="29"/>
        <v>0</v>
      </c>
      <c r="AT10" s="302">
        <f t="shared" si="30"/>
        <v>0</v>
      </c>
      <c r="AU10" s="302">
        <f t="shared" si="31"/>
        <v>0</v>
      </c>
      <c r="AV10" s="81">
        <f t="shared" si="32"/>
        <v>0</v>
      </c>
      <c r="AW10" s="82">
        <f t="shared" si="33"/>
        <v>0</v>
      </c>
      <c r="AX10" s="81">
        <f t="shared" si="34"/>
        <v>0</v>
      </c>
      <c r="AY10" s="83">
        <f t="shared" si="35"/>
        <v>0</v>
      </c>
      <c r="AZ10" s="83">
        <f t="shared" si="36"/>
        <v>0</v>
      </c>
      <c r="BA10" s="82">
        <f>IF(OR(B10=Feiertage!$A$16,B10=Feiertage!$A$19),U10*Zuschläge_24_31/100,IF(AZ10&gt;0,AZ10*Feiertag_mit/100,IF(AX10&gt;0,AX10*Zuschläge_Sa/100,IF(AY10&gt;0,AY10*Zuschlag_So/100,0))))</f>
        <v>0</v>
      </c>
      <c r="BB10" s="82">
        <f>IF(AND(B10&lt;&gt;0,G10=Voreinstellung_Übersicht!$D$41),IF(EG=1,W10*Über_klein/100,IF(EG=2,W10*Über_groß/100,"Fehler")),0)</f>
        <v>0</v>
      </c>
      <c r="BC10" s="299">
        <f t="shared" ca="1" si="41"/>
        <v>0</v>
      </c>
      <c r="BD10" s="219">
        <f t="shared" ca="1" si="37"/>
        <v>1</v>
      </c>
      <c r="BE10" s="303">
        <f ca="1">IF(B10="","",INDIRECT(ADDRESS(MATCH(B10,Soll_AZ,1)+MATCH("Arbeitszeit 1 ab",Voreinstellung_Übersicht!B:B,0)-1,4,,,"Voreinstellung_Übersicht"),TRUE))</f>
        <v>1.6666666666666665</v>
      </c>
      <c r="BF10" s="1">
        <f t="shared" si="42"/>
        <v>0</v>
      </c>
    </row>
    <row r="11" spans="1:58" s="1" customFormat="1" ht="15" x14ac:dyDescent="0.3">
      <c r="A11" s="218">
        <f t="shared" si="0"/>
        <v>23</v>
      </c>
      <c r="B11" s="47">
        <f t="shared" si="38"/>
        <v>42158</v>
      </c>
      <c r="C11" s="219">
        <f t="shared" si="1"/>
        <v>1</v>
      </c>
      <c r="D11" s="220" t="str">
        <f t="shared" si="2"/>
        <v/>
      </c>
      <c r="E11" s="298" t="str">
        <f t="shared" si="3"/>
        <v/>
      </c>
      <c r="F11" s="87">
        <f t="shared" si="4"/>
        <v>42158</v>
      </c>
      <c r="G11" s="147"/>
      <c r="H11" s="74"/>
      <c r="I11" s="75"/>
      <c r="J11" s="221">
        <f t="shared" si="5"/>
        <v>0</v>
      </c>
      <c r="K11" s="76"/>
      <c r="L11" s="221">
        <f>IF(J11-K11&gt;=Pause_9,Pause_9p,IF(J11-K11&gt;=Pause_6,Pause_6p,0))</f>
        <v>0</v>
      </c>
      <c r="M11" s="74"/>
      <c r="N11" s="75"/>
      <c r="O11" s="221">
        <f t="shared" si="6"/>
        <v>0</v>
      </c>
      <c r="P11" s="76"/>
      <c r="Q11" s="221">
        <f>IF(O11-P11&gt;Pause_9,Pause_9p,IF(O11-P11&gt;Pause_6,Pause_6p,0))</f>
        <v>0</v>
      </c>
      <c r="R11" s="221">
        <f>IF(J11+O11-K11-P11&gt;Pause_9,Pause_9p,IF(J11+O11-K11-P11&gt;Pause_6,Pause_6p,0))</f>
        <v>0</v>
      </c>
      <c r="S11" s="221">
        <f t="shared" si="7"/>
        <v>0</v>
      </c>
      <c r="T11" s="79">
        <f t="shared" si="8"/>
        <v>0</v>
      </c>
      <c r="U11" s="79">
        <f t="shared" si="39"/>
        <v>0</v>
      </c>
      <c r="V11" s="80">
        <f t="shared" ca="1" si="9"/>
        <v>0.33333333329999998</v>
      </c>
      <c r="W11" s="249" t="str">
        <f t="shared" ca="1" si="10"/>
        <v/>
      </c>
      <c r="X11" s="293"/>
      <c r="Y11" s="221">
        <f t="shared" si="11"/>
        <v>0</v>
      </c>
      <c r="Z11" s="299">
        <f ca="1">IF(B11="","",INDIRECT(ADDRESS(MATCH(B11,Soll_AZ,1)+MATCH("Arbeitszeit 1 ab",Voreinstellung_Übersicht!B:B,0)-1,WEEKDAY(B11,2)+4,,,"Voreinstellung_Übersicht"),TRUE))</f>
        <v>0.33333333333333331</v>
      </c>
      <c r="AA11" s="300">
        <f t="shared" ca="1" si="40"/>
        <v>0</v>
      </c>
      <c r="AB11" s="219">
        <f t="shared" si="12"/>
        <v>0</v>
      </c>
      <c r="AC11" s="219">
        <f t="shared" si="13"/>
        <v>0</v>
      </c>
      <c r="AD11" s="219">
        <f t="shared" si="14"/>
        <v>0</v>
      </c>
      <c r="AE11" s="219">
        <f t="shared" si="15"/>
        <v>0</v>
      </c>
      <c r="AF11" s="219">
        <f t="shared" si="16"/>
        <v>0</v>
      </c>
      <c r="AG11" s="219">
        <f t="shared" si="17"/>
        <v>0</v>
      </c>
      <c r="AH11" s="219">
        <f t="shared" si="18"/>
        <v>0</v>
      </c>
      <c r="AI11" s="219">
        <f t="shared" si="19"/>
        <v>0</v>
      </c>
      <c r="AJ11" s="219">
        <f t="shared" si="20"/>
        <v>0</v>
      </c>
      <c r="AK11" s="219">
        <f t="shared" si="21"/>
        <v>0</v>
      </c>
      <c r="AL11" s="219">
        <f t="shared" si="22"/>
        <v>0</v>
      </c>
      <c r="AM11" s="219">
        <f t="shared" si="23"/>
        <v>0</v>
      </c>
      <c r="AN11" s="301">
        <f t="shared" si="24"/>
        <v>0</v>
      </c>
      <c r="AO11" s="301">
        <f t="shared" si="25"/>
        <v>0</v>
      </c>
      <c r="AP11" s="301">
        <f t="shared" si="26"/>
        <v>0</v>
      </c>
      <c r="AQ11" s="301">
        <f t="shared" si="27"/>
        <v>0</v>
      </c>
      <c r="AR11" s="301">
        <f t="shared" si="28"/>
        <v>0</v>
      </c>
      <c r="AS11" s="301">
        <f t="shared" si="29"/>
        <v>0</v>
      </c>
      <c r="AT11" s="302">
        <f t="shared" si="30"/>
        <v>0</v>
      </c>
      <c r="AU11" s="302">
        <f t="shared" si="31"/>
        <v>0</v>
      </c>
      <c r="AV11" s="81">
        <f t="shared" si="32"/>
        <v>0</v>
      </c>
      <c r="AW11" s="82">
        <f t="shared" si="33"/>
        <v>0</v>
      </c>
      <c r="AX11" s="81">
        <f t="shared" si="34"/>
        <v>0</v>
      </c>
      <c r="AY11" s="83">
        <f t="shared" si="35"/>
        <v>0</v>
      </c>
      <c r="AZ11" s="83">
        <f t="shared" si="36"/>
        <v>0</v>
      </c>
      <c r="BA11" s="82">
        <f>IF(OR(B11=Feiertage!$A$16,B11=Feiertage!$A$19),U11*Zuschläge_24_31/100,IF(AZ11&gt;0,AZ11*Feiertag_mit/100,IF(AX11&gt;0,AX11*Zuschläge_Sa/100,IF(AY11&gt;0,AY11*Zuschlag_So/100,0))))</f>
        <v>0</v>
      </c>
      <c r="BB11" s="82">
        <f>IF(AND(B11&lt;&gt;0,G11=Voreinstellung_Übersicht!$D$41),IF(EG=1,W11*Über_klein/100,IF(EG=2,W11*Über_groß/100,"Fehler")),0)</f>
        <v>0</v>
      </c>
      <c r="BC11" s="299">
        <f t="shared" ca="1" si="41"/>
        <v>0</v>
      </c>
      <c r="BD11" s="219">
        <f t="shared" ca="1" si="37"/>
        <v>1</v>
      </c>
      <c r="BE11" s="303">
        <f ca="1">IF(B11="","",INDIRECT(ADDRESS(MATCH(B11,Soll_AZ,1)+MATCH("Arbeitszeit 1 ab",Voreinstellung_Übersicht!B:B,0)-1,4,,,"Voreinstellung_Übersicht"),TRUE))</f>
        <v>1.6666666666666665</v>
      </c>
      <c r="BF11" s="1">
        <f t="shared" si="42"/>
        <v>0</v>
      </c>
    </row>
    <row r="12" spans="1:58" s="1" customFormat="1" ht="15" x14ac:dyDescent="0.3">
      <c r="A12" s="218">
        <f t="shared" si="0"/>
        <v>23</v>
      </c>
      <c r="B12" s="47">
        <f t="shared" si="38"/>
        <v>42159</v>
      </c>
      <c r="C12" s="219">
        <f t="shared" si="1"/>
        <v>1</v>
      </c>
      <c r="D12" s="220" t="str">
        <f t="shared" si="2"/>
        <v/>
      </c>
      <c r="E12" s="298" t="str">
        <f t="shared" si="3"/>
        <v/>
      </c>
      <c r="F12" s="87">
        <f t="shared" si="4"/>
        <v>42159</v>
      </c>
      <c r="G12" s="147"/>
      <c r="H12" s="74"/>
      <c r="I12" s="75"/>
      <c r="J12" s="221">
        <f t="shared" si="5"/>
        <v>0</v>
      </c>
      <c r="K12" s="76"/>
      <c r="L12" s="221">
        <f t="shared" ref="L12:L37" si="43">IF(J12&gt;=Pause_9,Pause_9p,IF(J12&gt;=Pause_6,Pause_6p,0))</f>
        <v>0</v>
      </c>
      <c r="M12" s="74"/>
      <c r="N12" s="75"/>
      <c r="O12" s="221">
        <f t="shared" si="6"/>
        <v>0</v>
      </c>
      <c r="P12" s="76"/>
      <c r="Q12" s="221">
        <f t="shared" ref="Q12:Q37" si="44">IF(O12&gt;Pause_9,Pause_9p,IF(O12&gt;=Pause_6,Pause_6p,0))</f>
        <v>0</v>
      </c>
      <c r="R12" s="221">
        <f t="shared" ref="R12:R37" si="45">IF(J12+O12&gt;=Pause_9,Pause_9p,IF(J12+O12&gt;=Pause_6,Pause_6p,0))</f>
        <v>0</v>
      </c>
      <c r="S12" s="221">
        <f t="shared" si="7"/>
        <v>0</v>
      </c>
      <c r="T12" s="79">
        <f t="shared" si="8"/>
        <v>0</v>
      </c>
      <c r="U12" s="79">
        <f t="shared" si="39"/>
        <v>0</v>
      </c>
      <c r="V12" s="80">
        <f t="shared" ca="1" si="9"/>
        <v>0.33333333329999998</v>
      </c>
      <c r="W12" s="249" t="str">
        <f t="shared" ca="1" si="10"/>
        <v/>
      </c>
      <c r="X12" s="293"/>
      <c r="Y12" s="221">
        <f t="shared" si="11"/>
        <v>0</v>
      </c>
      <c r="Z12" s="299">
        <f ca="1">IF(B12="","",INDIRECT(ADDRESS(MATCH(B12,Soll_AZ,1)+MATCH("Arbeitszeit 1 ab",Voreinstellung_Übersicht!B:B,0)-1,WEEKDAY(B12,2)+4,,,"Voreinstellung_Übersicht"),TRUE))</f>
        <v>0.33333333333333331</v>
      </c>
      <c r="AA12" s="300">
        <f t="shared" ca="1" si="40"/>
        <v>0</v>
      </c>
      <c r="AB12" s="219">
        <f t="shared" si="12"/>
        <v>0</v>
      </c>
      <c r="AC12" s="219">
        <f t="shared" si="13"/>
        <v>0</v>
      </c>
      <c r="AD12" s="219">
        <f t="shared" si="14"/>
        <v>0</v>
      </c>
      <c r="AE12" s="219">
        <f t="shared" si="15"/>
        <v>0</v>
      </c>
      <c r="AF12" s="219">
        <f t="shared" si="16"/>
        <v>0</v>
      </c>
      <c r="AG12" s="219">
        <f t="shared" si="17"/>
        <v>0</v>
      </c>
      <c r="AH12" s="219">
        <f t="shared" si="18"/>
        <v>0</v>
      </c>
      <c r="AI12" s="219">
        <f t="shared" si="19"/>
        <v>0</v>
      </c>
      <c r="AJ12" s="219">
        <f t="shared" si="20"/>
        <v>0</v>
      </c>
      <c r="AK12" s="219">
        <f t="shared" si="21"/>
        <v>0</v>
      </c>
      <c r="AL12" s="219">
        <f t="shared" si="22"/>
        <v>0</v>
      </c>
      <c r="AM12" s="219">
        <f t="shared" si="23"/>
        <v>0</v>
      </c>
      <c r="AN12" s="301">
        <f t="shared" si="24"/>
        <v>0</v>
      </c>
      <c r="AO12" s="301">
        <f t="shared" si="25"/>
        <v>0</v>
      </c>
      <c r="AP12" s="301">
        <f t="shared" si="26"/>
        <v>0</v>
      </c>
      <c r="AQ12" s="301">
        <f t="shared" si="27"/>
        <v>0</v>
      </c>
      <c r="AR12" s="301">
        <f t="shared" si="28"/>
        <v>0</v>
      </c>
      <c r="AS12" s="301">
        <f t="shared" si="29"/>
        <v>0</v>
      </c>
      <c r="AT12" s="302">
        <f t="shared" si="30"/>
        <v>0</v>
      </c>
      <c r="AU12" s="302">
        <f t="shared" si="31"/>
        <v>0</v>
      </c>
      <c r="AV12" s="81">
        <f t="shared" si="32"/>
        <v>0</v>
      </c>
      <c r="AW12" s="82">
        <f t="shared" si="33"/>
        <v>0</v>
      </c>
      <c r="AX12" s="81">
        <f t="shared" si="34"/>
        <v>0</v>
      </c>
      <c r="AY12" s="83">
        <f t="shared" si="35"/>
        <v>0</v>
      </c>
      <c r="AZ12" s="83">
        <f t="shared" si="36"/>
        <v>0</v>
      </c>
      <c r="BA12" s="82">
        <f>IF(OR(B12=Feiertage!$A$16,B12=Feiertage!$A$19),U12*Zuschläge_24_31/100,IF(AZ12&gt;0,AZ12*Feiertag_mit/100,IF(AX12&gt;0,AX12*Zuschläge_Sa/100,IF(AY12&gt;0,AY12*Zuschlag_So/100,0))))</f>
        <v>0</v>
      </c>
      <c r="BB12" s="82">
        <f>IF(AND(B12&lt;&gt;0,G12=Voreinstellung_Übersicht!$D$41),IF(EG=1,W12*Über_klein/100,IF(EG=2,W12*Über_groß/100,"Fehler")),0)</f>
        <v>0</v>
      </c>
      <c r="BC12" s="299">
        <f t="shared" ca="1" si="41"/>
        <v>0</v>
      </c>
      <c r="BD12" s="219">
        <f t="shared" ca="1" si="37"/>
        <v>1</v>
      </c>
      <c r="BE12" s="303">
        <f ca="1">IF(B12="","",INDIRECT(ADDRESS(MATCH(B12,Soll_AZ,1)+MATCH("Arbeitszeit 1 ab",Voreinstellung_Übersicht!B:B,0)-1,4,,,"Voreinstellung_Übersicht"),TRUE))</f>
        <v>1.6666666666666665</v>
      </c>
      <c r="BF12" s="1">
        <f t="shared" si="42"/>
        <v>0</v>
      </c>
    </row>
    <row r="13" spans="1:58" s="1" customFormat="1" ht="15" x14ac:dyDescent="0.3">
      <c r="A13" s="218">
        <f t="shared" si="0"/>
        <v>23</v>
      </c>
      <c r="B13" s="47">
        <f t="shared" si="38"/>
        <v>42160</v>
      </c>
      <c r="C13" s="219">
        <f t="shared" si="1"/>
        <v>1</v>
      </c>
      <c r="D13" s="220" t="str">
        <f t="shared" si="2"/>
        <v/>
      </c>
      <c r="E13" s="298" t="str">
        <f t="shared" si="3"/>
        <v/>
      </c>
      <c r="F13" s="87">
        <f t="shared" si="4"/>
        <v>42160</v>
      </c>
      <c r="G13" s="147"/>
      <c r="H13" s="74"/>
      <c r="I13" s="75"/>
      <c r="J13" s="221">
        <f t="shared" si="5"/>
        <v>0</v>
      </c>
      <c r="K13" s="76"/>
      <c r="L13" s="221">
        <f t="shared" si="43"/>
        <v>0</v>
      </c>
      <c r="M13" s="74"/>
      <c r="N13" s="75"/>
      <c r="O13" s="221">
        <f t="shared" si="6"/>
        <v>0</v>
      </c>
      <c r="P13" s="76"/>
      <c r="Q13" s="221">
        <f t="shared" si="44"/>
        <v>0</v>
      </c>
      <c r="R13" s="221">
        <f t="shared" si="45"/>
        <v>0</v>
      </c>
      <c r="S13" s="221">
        <f t="shared" si="7"/>
        <v>0</v>
      </c>
      <c r="T13" s="79">
        <f t="shared" si="8"/>
        <v>0</v>
      </c>
      <c r="U13" s="79">
        <f t="shared" si="39"/>
        <v>0</v>
      </c>
      <c r="V13" s="80">
        <f t="shared" ca="1" si="9"/>
        <v>0.33333333329999998</v>
      </c>
      <c r="W13" s="249" t="str">
        <f t="shared" ca="1" si="10"/>
        <v/>
      </c>
      <c r="X13" s="293"/>
      <c r="Y13" s="221">
        <f t="shared" si="11"/>
        <v>0</v>
      </c>
      <c r="Z13" s="299">
        <f ca="1">IF(B13="","",INDIRECT(ADDRESS(MATCH(B13,Soll_AZ,1)+MATCH("Arbeitszeit 1 ab",Voreinstellung_Übersicht!B:B,0)-1,WEEKDAY(B13,2)+4,,,"Voreinstellung_Übersicht"),TRUE))</f>
        <v>0.33333333333333331</v>
      </c>
      <c r="AA13" s="300">
        <f t="shared" ca="1" si="40"/>
        <v>0</v>
      </c>
      <c r="AB13" s="219">
        <f t="shared" si="12"/>
        <v>0</v>
      </c>
      <c r="AC13" s="219">
        <f t="shared" si="13"/>
        <v>0</v>
      </c>
      <c r="AD13" s="219">
        <f t="shared" si="14"/>
        <v>0</v>
      </c>
      <c r="AE13" s="219">
        <f t="shared" si="15"/>
        <v>0</v>
      </c>
      <c r="AF13" s="219">
        <f t="shared" si="16"/>
        <v>0</v>
      </c>
      <c r="AG13" s="219">
        <f t="shared" si="17"/>
        <v>0</v>
      </c>
      <c r="AH13" s="219">
        <f t="shared" si="18"/>
        <v>0</v>
      </c>
      <c r="AI13" s="219">
        <f t="shared" si="19"/>
        <v>0</v>
      </c>
      <c r="AJ13" s="219">
        <f t="shared" si="20"/>
        <v>0</v>
      </c>
      <c r="AK13" s="219">
        <f t="shared" si="21"/>
        <v>0</v>
      </c>
      <c r="AL13" s="219">
        <f t="shared" si="22"/>
        <v>0</v>
      </c>
      <c r="AM13" s="219">
        <f t="shared" si="23"/>
        <v>0</v>
      </c>
      <c r="AN13" s="301">
        <f t="shared" si="24"/>
        <v>0</v>
      </c>
      <c r="AO13" s="301">
        <f t="shared" si="25"/>
        <v>0</v>
      </c>
      <c r="AP13" s="301">
        <f t="shared" si="26"/>
        <v>0</v>
      </c>
      <c r="AQ13" s="301">
        <f t="shared" si="27"/>
        <v>0</v>
      </c>
      <c r="AR13" s="301">
        <f t="shared" si="28"/>
        <v>0</v>
      </c>
      <c r="AS13" s="301">
        <f t="shared" si="29"/>
        <v>0</v>
      </c>
      <c r="AT13" s="302">
        <f t="shared" si="30"/>
        <v>0</v>
      </c>
      <c r="AU13" s="302">
        <f t="shared" si="31"/>
        <v>0</v>
      </c>
      <c r="AV13" s="81">
        <f t="shared" si="32"/>
        <v>0</v>
      </c>
      <c r="AW13" s="82">
        <f t="shared" si="33"/>
        <v>0</v>
      </c>
      <c r="AX13" s="81">
        <f t="shared" si="34"/>
        <v>0</v>
      </c>
      <c r="AY13" s="83">
        <f t="shared" si="35"/>
        <v>0</v>
      </c>
      <c r="AZ13" s="83">
        <f t="shared" si="36"/>
        <v>0</v>
      </c>
      <c r="BA13" s="82">
        <f>IF(OR(B13=Feiertage!$A$16,B13=Feiertage!$A$19),U13*Zuschläge_24_31/100,IF(AZ13&gt;0,AZ13*Feiertag_mit/100,IF(AX13&gt;0,AX13*Zuschläge_Sa/100,IF(AY13&gt;0,AY13*Zuschlag_So/100,0))))</f>
        <v>0</v>
      </c>
      <c r="BB13" s="82">
        <f>IF(AND(B13&lt;&gt;0,G13=Voreinstellung_Übersicht!$D$41),IF(EG=1,W13*Über_klein/100,IF(EG=2,W13*Über_groß/100,"Fehler")),0)</f>
        <v>0</v>
      </c>
      <c r="BC13" s="299">
        <f t="shared" ca="1" si="41"/>
        <v>0</v>
      </c>
      <c r="BD13" s="219">
        <f t="shared" ca="1" si="37"/>
        <v>1</v>
      </c>
      <c r="BE13" s="303">
        <f ca="1">IF(B13="","",INDIRECT(ADDRESS(MATCH(B13,Soll_AZ,1)+MATCH("Arbeitszeit 1 ab",Voreinstellung_Übersicht!B:B,0)-1,4,,,"Voreinstellung_Übersicht"),TRUE))</f>
        <v>1.6666666666666665</v>
      </c>
      <c r="BF13" s="1">
        <f t="shared" si="42"/>
        <v>0</v>
      </c>
    </row>
    <row r="14" spans="1:58" s="1" customFormat="1" ht="15" x14ac:dyDescent="0.3">
      <c r="A14" s="218">
        <f t="shared" si="0"/>
        <v>23</v>
      </c>
      <c r="B14" s="47">
        <f t="shared" si="38"/>
        <v>42161</v>
      </c>
      <c r="C14" s="219">
        <f t="shared" si="1"/>
        <v>1</v>
      </c>
      <c r="D14" s="220" t="str">
        <f t="shared" si="2"/>
        <v/>
      </c>
      <c r="E14" s="298" t="str">
        <f t="shared" si="3"/>
        <v/>
      </c>
      <c r="F14" s="87">
        <f t="shared" si="4"/>
        <v>42161</v>
      </c>
      <c r="G14" s="147"/>
      <c r="H14" s="74"/>
      <c r="I14" s="75"/>
      <c r="J14" s="221">
        <f t="shared" si="5"/>
        <v>0</v>
      </c>
      <c r="K14" s="76"/>
      <c r="L14" s="221">
        <f t="shared" si="43"/>
        <v>0</v>
      </c>
      <c r="M14" s="74"/>
      <c r="N14" s="75"/>
      <c r="O14" s="221">
        <f t="shared" si="6"/>
        <v>0</v>
      </c>
      <c r="P14" s="76"/>
      <c r="Q14" s="221">
        <f t="shared" si="44"/>
        <v>0</v>
      </c>
      <c r="R14" s="221">
        <f t="shared" si="45"/>
        <v>0</v>
      </c>
      <c r="S14" s="221">
        <f t="shared" si="7"/>
        <v>0</v>
      </c>
      <c r="T14" s="79">
        <f t="shared" si="8"/>
        <v>0</v>
      </c>
      <c r="U14" s="79">
        <f t="shared" si="39"/>
        <v>0</v>
      </c>
      <c r="V14" s="80">
        <f t="shared" ca="1" si="9"/>
        <v>0.33333333329999998</v>
      </c>
      <c r="W14" s="249" t="str">
        <f t="shared" ca="1" si="10"/>
        <v/>
      </c>
      <c r="X14" s="293"/>
      <c r="Y14" s="221">
        <f t="shared" si="11"/>
        <v>0</v>
      </c>
      <c r="Z14" s="299">
        <f ca="1">IF(B14="","",INDIRECT(ADDRESS(MATCH(B14,Soll_AZ,1)+MATCH("Arbeitszeit 1 ab",Voreinstellung_Übersicht!B:B,0)-1,WEEKDAY(B14,2)+4,,,"Voreinstellung_Übersicht"),TRUE))</f>
        <v>0.33333333333333331</v>
      </c>
      <c r="AA14" s="300">
        <f t="shared" ca="1" si="40"/>
        <v>0</v>
      </c>
      <c r="AB14" s="219">
        <f t="shared" si="12"/>
        <v>0</v>
      </c>
      <c r="AC14" s="219">
        <f t="shared" si="13"/>
        <v>0</v>
      </c>
      <c r="AD14" s="219">
        <f t="shared" si="14"/>
        <v>0</v>
      </c>
      <c r="AE14" s="219">
        <f t="shared" si="15"/>
        <v>0</v>
      </c>
      <c r="AF14" s="219">
        <f t="shared" si="16"/>
        <v>0</v>
      </c>
      <c r="AG14" s="219">
        <f t="shared" si="17"/>
        <v>0</v>
      </c>
      <c r="AH14" s="219">
        <f t="shared" si="18"/>
        <v>0</v>
      </c>
      <c r="AI14" s="219">
        <f t="shared" si="19"/>
        <v>0</v>
      </c>
      <c r="AJ14" s="219">
        <f t="shared" si="20"/>
        <v>0</v>
      </c>
      <c r="AK14" s="219">
        <f t="shared" si="21"/>
        <v>0</v>
      </c>
      <c r="AL14" s="219">
        <f t="shared" si="22"/>
        <v>0</v>
      </c>
      <c r="AM14" s="219">
        <f t="shared" si="23"/>
        <v>0</v>
      </c>
      <c r="AN14" s="301">
        <f t="shared" si="24"/>
        <v>0</v>
      </c>
      <c r="AO14" s="301">
        <f t="shared" si="25"/>
        <v>0</v>
      </c>
      <c r="AP14" s="301">
        <f t="shared" si="26"/>
        <v>0</v>
      </c>
      <c r="AQ14" s="301">
        <f t="shared" si="27"/>
        <v>0</v>
      </c>
      <c r="AR14" s="301">
        <f t="shared" si="28"/>
        <v>0</v>
      </c>
      <c r="AS14" s="301">
        <f t="shared" si="29"/>
        <v>0</v>
      </c>
      <c r="AT14" s="302">
        <f t="shared" si="30"/>
        <v>0</v>
      </c>
      <c r="AU14" s="302">
        <f t="shared" si="31"/>
        <v>0</v>
      </c>
      <c r="AV14" s="81">
        <f t="shared" si="32"/>
        <v>0</v>
      </c>
      <c r="AW14" s="82">
        <f t="shared" si="33"/>
        <v>0</v>
      </c>
      <c r="AX14" s="81">
        <f t="shared" si="34"/>
        <v>0</v>
      </c>
      <c r="AY14" s="83">
        <f t="shared" si="35"/>
        <v>0</v>
      </c>
      <c r="AZ14" s="83">
        <f t="shared" si="36"/>
        <v>0</v>
      </c>
      <c r="BA14" s="82">
        <f>IF(OR(B14=Feiertage!$A$16,B14=Feiertage!$A$19),U14*Zuschläge_24_31/100,IF(AZ14&gt;0,AZ14*Feiertag_mit/100,IF(AX14&gt;0,AX14*Zuschläge_Sa/100,IF(AY14&gt;0,AY14*Zuschlag_So/100,0))))</f>
        <v>0</v>
      </c>
      <c r="BB14" s="82">
        <f>IF(AND(B14&lt;&gt;0,G14=Voreinstellung_Übersicht!$D$41),IF(EG=1,W14*Über_klein/100,IF(EG=2,W14*Über_groß/100,"Fehler")),0)</f>
        <v>0</v>
      </c>
      <c r="BC14" s="299">
        <f t="shared" ca="1" si="41"/>
        <v>0</v>
      </c>
      <c r="BD14" s="219">
        <f t="shared" ca="1" si="37"/>
        <v>1</v>
      </c>
      <c r="BE14" s="303">
        <f ca="1">IF(B14="","",INDIRECT(ADDRESS(MATCH(B14,Soll_AZ,1)+MATCH("Arbeitszeit 1 ab",Voreinstellung_Übersicht!B:B,0)-1,4,,,"Voreinstellung_Übersicht"),TRUE))</f>
        <v>1.6666666666666665</v>
      </c>
      <c r="BF14" s="1">
        <f t="shared" si="42"/>
        <v>0</v>
      </c>
    </row>
    <row r="15" spans="1:58" s="1" customFormat="1" ht="15" x14ac:dyDescent="0.3">
      <c r="A15" s="218">
        <f t="shared" si="0"/>
        <v>23</v>
      </c>
      <c r="B15" s="47">
        <f t="shared" si="38"/>
        <v>42162</v>
      </c>
      <c r="C15" s="219">
        <f t="shared" si="1"/>
        <v>0</v>
      </c>
      <c r="D15" s="220" t="str">
        <f t="shared" si="2"/>
        <v>Pfingssamstag</v>
      </c>
      <c r="E15" s="298" t="str">
        <f t="shared" si="3"/>
        <v>Pfingssamstag</v>
      </c>
      <c r="F15" s="87">
        <f t="shared" si="4"/>
        <v>42162</v>
      </c>
      <c r="G15" s="147"/>
      <c r="H15" s="74"/>
      <c r="I15" s="75"/>
      <c r="J15" s="221">
        <f t="shared" si="5"/>
        <v>0</v>
      </c>
      <c r="K15" s="76"/>
      <c r="L15" s="221">
        <f t="shared" si="43"/>
        <v>0</v>
      </c>
      <c r="M15" s="74"/>
      <c r="N15" s="75"/>
      <c r="O15" s="221">
        <f t="shared" si="6"/>
        <v>0</v>
      </c>
      <c r="P15" s="76"/>
      <c r="Q15" s="221">
        <f t="shared" si="44"/>
        <v>0</v>
      </c>
      <c r="R15" s="221">
        <f t="shared" si="45"/>
        <v>0</v>
      </c>
      <c r="S15" s="221">
        <f t="shared" si="7"/>
        <v>0</v>
      </c>
      <c r="T15" s="79">
        <f t="shared" si="8"/>
        <v>0</v>
      </c>
      <c r="U15" s="79">
        <f t="shared" si="39"/>
        <v>0</v>
      </c>
      <c r="V15" s="80">
        <f t="shared" si="9"/>
        <v>0</v>
      </c>
      <c r="W15" s="249" t="str">
        <f t="shared" si="10"/>
        <v/>
      </c>
      <c r="X15" s="293"/>
      <c r="Y15" s="221">
        <f t="shared" si="11"/>
        <v>0</v>
      </c>
      <c r="Z15" s="299">
        <f ca="1">IF(B15="","",INDIRECT(ADDRESS(MATCH(B15,Soll_AZ,1)+MATCH("Arbeitszeit 1 ab",Voreinstellung_Übersicht!B:B,0)-1,WEEKDAY(B15,2)+4,,,"Voreinstellung_Übersicht"),TRUE))</f>
        <v>0</v>
      </c>
      <c r="AA15" s="300">
        <f t="shared" ca="1" si="40"/>
        <v>0</v>
      </c>
      <c r="AB15" s="219">
        <f t="shared" si="12"/>
        <v>0</v>
      </c>
      <c r="AC15" s="219">
        <f t="shared" si="13"/>
        <v>0</v>
      </c>
      <c r="AD15" s="219">
        <f t="shared" si="14"/>
        <v>0</v>
      </c>
      <c r="AE15" s="219">
        <f t="shared" si="15"/>
        <v>0</v>
      </c>
      <c r="AF15" s="219">
        <f t="shared" si="16"/>
        <v>0</v>
      </c>
      <c r="AG15" s="219">
        <f t="shared" si="17"/>
        <v>0</v>
      </c>
      <c r="AH15" s="219">
        <f t="shared" si="18"/>
        <v>0</v>
      </c>
      <c r="AI15" s="219">
        <f t="shared" si="19"/>
        <v>0</v>
      </c>
      <c r="AJ15" s="219">
        <f t="shared" si="20"/>
        <v>0</v>
      </c>
      <c r="AK15" s="219">
        <f t="shared" si="21"/>
        <v>0</v>
      </c>
      <c r="AL15" s="219">
        <f t="shared" si="22"/>
        <v>0</v>
      </c>
      <c r="AM15" s="219">
        <f t="shared" si="23"/>
        <v>0</v>
      </c>
      <c r="AN15" s="301">
        <f t="shared" si="24"/>
        <v>0</v>
      </c>
      <c r="AO15" s="301">
        <f t="shared" si="25"/>
        <v>0</v>
      </c>
      <c r="AP15" s="301">
        <f t="shared" si="26"/>
        <v>0</v>
      </c>
      <c r="AQ15" s="301">
        <f t="shared" si="27"/>
        <v>0</v>
      </c>
      <c r="AR15" s="301">
        <f t="shared" si="28"/>
        <v>0</v>
      </c>
      <c r="AS15" s="301">
        <f t="shared" si="29"/>
        <v>0</v>
      </c>
      <c r="AT15" s="302">
        <f t="shared" si="30"/>
        <v>0</v>
      </c>
      <c r="AU15" s="302">
        <f t="shared" si="31"/>
        <v>0</v>
      </c>
      <c r="AV15" s="81">
        <f t="shared" si="32"/>
        <v>0</v>
      </c>
      <c r="AW15" s="82">
        <f t="shared" si="33"/>
        <v>0</v>
      </c>
      <c r="AX15" s="81">
        <f t="shared" si="34"/>
        <v>0</v>
      </c>
      <c r="AY15" s="83">
        <f t="shared" si="35"/>
        <v>0</v>
      </c>
      <c r="AZ15" s="83">
        <f t="shared" si="36"/>
        <v>0</v>
      </c>
      <c r="BA15" s="82">
        <f>IF(OR(B15=Feiertage!$A$16,B15=Feiertage!$A$19),U15*Zuschläge_24_31/100,IF(AZ15&gt;0,AZ15*Feiertag_mit/100,IF(AX15&gt;0,AX15*Zuschläge_Sa/100,IF(AY15&gt;0,AY15*Zuschlag_So/100,0))))</f>
        <v>0</v>
      </c>
      <c r="BB15" s="82">
        <f>IF(AND(B15&lt;&gt;0,G15=Voreinstellung_Übersicht!$D$41),IF(EG=1,W15*Über_klein/100,IF(EG=2,W15*Über_groß/100,"Fehler")),0)</f>
        <v>0</v>
      </c>
      <c r="BC15" s="299">
        <f t="shared" ca="1" si="41"/>
        <v>0</v>
      </c>
      <c r="BD15" s="219">
        <f t="shared" ca="1" si="37"/>
        <v>1</v>
      </c>
      <c r="BE15" s="303">
        <f ca="1">IF(B15="","",INDIRECT(ADDRESS(MATCH(B15,Soll_AZ,1)+MATCH("Arbeitszeit 1 ab",Voreinstellung_Übersicht!B:B,0)-1,4,,,"Voreinstellung_Übersicht"),TRUE))</f>
        <v>1.6666666666666665</v>
      </c>
      <c r="BF15" s="1">
        <f t="shared" si="42"/>
        <v>0</v>
      </c>
    </row>
    <row r="16" spans="1:58" s="1" customFormat="1" ht="15" x14ac:dyDescent="0.3">
      <c r="A16" s="218">
        <f t="shared" si="0"/>
        <v>24</v>
      </c>
      <c r="B16" s="47">
        <f t="shared" si="38"/>
        <v>42163</v>
      </c>
      <c r="C16" s="219">
        <f t="shared" si="1"/>
        <v>0</v>
      </c>
      <c r="D16" s="220" t="str">
        <f t="shared" si="2"/>
        <v>Pfingstsonntag</v>
      </c>
      <c r="E16" s="298" t="str">
        <f t="shared" si="3"/>
        <v>Pfingstsonntag</v>
      </c>
      <c r="F16" s="87">
        <f t="shared" si="4"/>
        <v>42163</v>
      </c>
      <c r="G16" s="147"/>
      <c r="H16" s="74"/>
      <c r="I16" s="75"/>
      <c r="J16" s="221">
        <f t="shared" si="5"/>
        <v>0</v>
      </c>
      <c r="K16" s="76"/>
      <c r="L16" s="221">
        <f t="shared" si="43"/>
        <v>0</v>
      </c>
      <c r="M16" s="74"/>
      <c r="N16" s="75"/>
      <c r="O16" s="221">
        <f t="shared" si="6"/>
        <v>0</v>
      </c>
      <c r="P16" s="76"/>
      <c r="Q16" s="221">
        <f t="shared" si="44"/>
        <v>0</v>
      </c>
      <c r="R16" s="221">
        <f t="shared" si="45"/>
        <v>0</v>
      </c>
      <c r="S16" s="221">
        <f t="shared" si="7"/>
        <v>0</v>
      </c>
      <c r="T16" s="79">
        <f t="shared" si="8"/>
        <v>0</v>
      </c>
      <c r="U16" s="79">
        <f t="shared" si="39"/>
        <v>0</v>
      </c>
      <c r="V16" s="80">
        <f t="shared" si="9"/>
        <v>0</v>
      </c>
      <c r="W16" s="249" t="str">
        <f t="shared" si="10"/>
        <v/>
      </c>
      <c r="X16" s="293"/>
      <c r="Y16" s="221">
        <f t="shared" si="11"/>
        <v>0</v>
      </c>
      <c r="Z16" s="299">
        <f ca="1">IF(B16="","",INDIRECT(ADDRESS(MATCH(B16,Soll_AZ,1)+MATCH("Arbeitszeit 1 ab",Voreinstellung_Übersicht!B:B,0)-1,WEEKDAY(B16,2)+4,,,"Voreinstellung_Übersicht"),TRUE))</f>
        <v>0</v>
      </c>
      <c r="AA16" s="300">
        <f t="shared" ca="1" si="40"/>
        <v>0</v>
      </c>
      <c r="AB16" s="219">
        <f t="shared" si="12"/>
        <v>0</v>
      </c>
      <c r="AC16" s="219">
        <f t="shared" si="13"/>
        <v>0</v>
      </c>
      <c r="AD16" s="219">
        <f t="shared" si="14"/>
        <v>0</v>
      </c>
      <c r="AE16" s="219">
        <f t="shared" si="15"/>
        <v>0</v>
      </c>
      <c r="AF16" s="219">
        <f t="shared" si="16"/>
        <v>0</v>
      </c>
      <c r="AG16" s="219">
        <f t="shared" si="17"/>
        <v>0</v>
      </c>
      <c r="AH16" s="219">
        <f t="shared" si="18"/>
        <v>0</v>
      </c>
      <c r="AI16" s="219">
        <f t="shared" si="19"/>
        <v>0</v>
      </c>
      <c r="AJ16" s="219">
        <f t="shared" si="20"/>
        <v>0</v>
      </c>
      <c r="AK16" s="219">
        <f t="shared" si="21"/>
        <v>0</v>
      </c>
      <c r="AL16" s="219">
        <f t="shared" si="22"/>
        <v>0</v>
      </c>
      <c r="AM16" s="219">
        <f t="shared" si="23"/>
        <v>0</v>
      </c>
      <c r="AN16" s="301">
        <f t="shared" si="24"/>
        <v>0</v>
      </c>
      <c r="AO16" s="301">
        <f t="shared" si="25"/>
        <v>0</v>
      </c>
      <c r="AP16" s="301">
        <f t="shared" si="26"/>
        <v>0</v>
      </c>
      <c r="AQ16" s="301">
        <f t="shared" si="27"/>
        <v>0</v>
      </c>
      <c r="AR16" s="301">
        <f t="shared" si="28"/>
        <v>0</v>
      </c>
      <c r="AS16" s="301">
        <f t="shared" si="29"/>
        <v>0</v>
      </c>
      <c r="AT16" s="302">
        <f t="shared" si="30"/>
        <v>0</v>
      </c>
      <c r="AU16" s="302">
        <f t="shared" si="31"/>
        <v>0</v>
      </c>
      <c r="AV16" s="81">
        <f t="shared" si="32"/>
        <v>0</v>
      </c>
      <c r="AW16" s="82">
        <f t="shared" si="33"/>
        <v>0</v>
      </c>
      <c r="AX16" s="81">
        <f t="shared" si="34"/>
        <v>0</v>
      </c>
      <c r="AY16" s="83">
        <f t="shared" si="35"/>
        <v>0</v>
      </c>
      <c r="AZ16" s="83">
        <f t="shared" si="36"/>
        <v>0</v>
      </c>
      <c r="BA16" s="82">
        <f>IF(OR(B16=Feiertage!$A$16,B16=Feiertage!$A$19),U16*Zuschläge_24_31/100,IF(AZ16&gt;0,AZ16*Feiertag_mit/100,IF(AX16&gt;0,AX16*Zuschläge_Sa/100,IF(AY16&gt;0,AY16*Zuschlag_So/100,0))))</f>
        <v>0</v>
      </c>
      <c r="BB16" s="82">
        <f>IF(AND(B16&lt;&gt;0,G16=Voreinstellung_Übersicht!$D$41),IF(EG=1,W16*Über_klein/100,IF(EG=2,W16*Über_groß/100,"Fehler")),0)</f>
        <v>0</v>
      </c>
      <c r="BC16" s="299">
        <f t="shared" ca="1" si="41"/>
        <v>0</v>
      </c>
      <c r="BD16" s="219">
        <f t="shared" ca="1" si="37"/>
        <v>1</v>
      </c>
      <c r="BE16" s="303">
        <f ca="1">IF(B16="","",INDIRECT(ADDRESS(MATCH(B16,Soll_AZ,1)+MATCH("Arbeitszeit 1 ab",Voreinstellung_Übersicht!B:B,0)-1,4,,,"Voreinstellung_Übersicht"),TRUE))</f>
        <v>1.6666666666666665</v>
      </c>
      <c r="BF16" s="1">
        <f t="shared" si="42"/>
        <v>0</v>
      </c>
    </row>
    <row r="17" spans="1:58" s="1" customFormat="1" ht="15" x14ac:dyDescent="0.3">
      <c r="A17" s="218">
        <f t="shared" si="0"/>
        <v>24</v>
      </c>
      <c r="B17" s="47">
        <f t="shared" si="38"/>
        <v>42164</v>
      </c>
      <c r="C17" s="219">
        <f t="shared" si="1"/>
        <v>0</v>
      </c>
      <c r="D17" s="220" t="str">
        <f t="shared" si="2"/>
        <v>Pfingstmontag</v>
      </c>
      <c r="E17" s="298" t="str">
        <f t="shared" si="3"/>
        <v>Pfingstmontag</v>
      </c>
      <c r="F17" s="87">
        <f t="shared" si="4"/>
        <v>42164</v>
      </c>
      <c r="G17" s="147"/>
      <c r="H17" s="74"/>
      <c r="I17" s="75"/>
      <c r="J17" s="221">
        <f t="shared" si="5"/>
        <v>0</v>
      </c>
      <c r="K17" s="76"/>
      <c r="L17" s="221">
        <f t="shared" si="43"/>
        <v>0</v>
      </c>
      <c r="M17" s="74"/>
      <c r="N17" s="75"/>
      <c r="O17" s="221">
        <f t="shared" si="6"/>
        <v>0</v>
      </c>
      <c r="P17" s="76"/>
      <c r="Q17" s="221">
        <f t="shared" si="44"/>
        <v>0</v>
      </c>
      <c r="R17" s="221">
        <f t="shared" si="45"/>
        <v>0</v>
      </c>
      <c r="S17" s="221">
        <f t="shared" si="7"/>
        <v>0</v>
      </c>
      <c r="T17" s="79">
        <f t="shared" si="8"/>
        <v>0</v>
      </c>
      <c r="U17" s="79">
        <f t="shared" si="39"/>
        <v>0</v>
      </c>
      <c r="V17" s="80">
        <f t="shared" si="9"/>
        <v>0</v>
      </c>
      <c r="W17" s="249" t="str">
        <f t="shared" si="10"/>
        <v/>
      </c>
      <c r="X17" s="293"/>
      <c r="Y17" s="221">
        <f t="shared" si="11"/>
        <v>0</v>
      </c>
      <c r="Z17" s="299">
        <f ca="1">IF(B17="","",INDIRECT(ADDRESS(MATCH(B17,Soll_AZ,1)+MATCH("Arbeitszeit 1 ab",Voreinstellung_Übersicht!B:B,0)-1,WEEKDAY(B17,2)+4,,,"Voreinstellung_Übersicht"),TRUE))</f>
        <v>0.33333333333333331</v>
      </c>
      <c r="AA17" s="300">
        <f t="shared" ca="1" si="40"/>
        <v>0</v>
      </c>
      <c r="AB17" s="219">
        <f t="shared" si="12"/>
        <v>0</v>
      </c>
      <c r="AC17" s="219">
        <f t="shared" si="13"/>
        <v>0</v>
      </c>
      <c r="AD17" s="219">
        <f t="shared" si="14"/>
        <v>0</v>
      </c>
      <c r="AE17" s="219">
        <f t="shared" si="15"/>
        <v>0</v>
      </c>
      <c r="AF17" s="219">
        <f t="shared" si="16"/>
        <v>0</v>
      </c>
      <c r="AG17" s="219">
        <f t="shared" si="17"/>
        <v>0</v>
      </c>
      <c r="AH17" s="219">
        <f t="shared" si="18"/>
        <v>0</v>
      </c>
      <c r="AI17" s="219">
        <f t="shared" si="19"/>
        <v>0</v>
      </c>
      <c r="AJ17" s="219">
        <f t="shared" si="20"/>
        <v>0</v>
      </c>
      <c r="AK17" s="219">
        <f t="shared" si="21"/>
        <v>0</v>
      </c>
      <c r="AL17" s="219">
        <f t="shared" si="22"/>
        <v>0</v>
      </c>
      <c r="AM17" s="219">
        <f t="shared" si="23"/>
        <v>0</v>
      </c>
      <c r="AN17" s="301">
        <f t="shared" si="24"/>
        <v>0</v>
      </c>
      <c r="AO17" s="301">
        <f t="shared" si="25"/>
        <v>0</v>
      </c>
      <c r="AP17" s="301">
        <f t="shared" si="26"/>
        <v>0</v>
      </c>
      <c r="AQ17" s="301">
        <f t="shared" si="27"/>
        <v>0</v>
      </c>
      <c r="AR17" s="301">
        <f t="shared" si="28"/>
        <v>0</v>
      </c>
      <c r="AS17" s="301">
        <f t="shared" si="29"/>
        <v>0</v>
      </c>
      <c r="AT17" s="302">
        <f t="shared" si="30"/>
        <v>0</v>
      </c>
      <c r="AU17" s="302">
        <f t="shared" si="31"/>
        <v>0</v>
      </c>
      <c r="AV17" s="81">
        <f t="shared" si="32"/>
        <v>0</v>
      </c>
      <c r="AW17" s="82">
        <f t="shared" si="33"/>
        <v>0</v>
      </c>
      <c r="AX17" s="81">
        <f t="shared" si="34"/>
        <v>0</v>
      </c>
      <c r="AY17" s="83">
        <f t="shared" si="35"/>
        <v>0</v>
      </c>
      <c r="AZ17" s="83">
        <f t="shared" si="36"/>
        <v>0</v>
      </c>
      <c r="BA17" s="82">
        <f>IF(OR(B17=Feiertage!$A$16,B17=Feiertage!$A$19),U17*Zuschläge_24_31/100,IF(AZ17&gt;0,AZ17*Feiertag_mit/100,IF(AX17&gt;0,AX17*Zuschläge_Sa/100,IF(AY17&gt;0,AY17*Zuschlag_So/100,0))))</f>
        <v>0</v>
      </c>
      <c r="BB17" s="82">
        <f>IF(AND(B17&lt;&gt;0,G17=Voreinstellung_Übersicht!$D$41),IF(EG=1,W17*Über_klein/100,IF(EG=2,W17*Über_groß/100,"Fehler")),0)</f>
        <v>0</v>
      </c>
      <c r="BC17" s="299">
        <f t="shared" ca="1" si="41"/>
        <v>0</v>
      </c>
      <c r="BD17" s="219">
        <f t="shared" ca="1" si="37"/>
        <v>1</v>
      </c>
      <c r="BE17" s="303">
        <f ca="1">IF(B17="","",INDIRECT(ADDRESS(MATCH(B17,Soll_AZ,1)+MATCH("Arbeitszeit 1 ab",Voreinstellung_Übersicht!B:B,0)-1,4,,,"Voreinstellung_Übersicht"),TRUE))</f>
        <v>1.6666666666666665</v>
      </c>
      <c r="BF17" s="1">
        <f t="shared" si="42"/>
        <v>0</v>
      </c>
    </row>
    <row r="18" spans="1:58" s="1" customFormat="1" ht="15" x14ac:dyDescent="0.3">
      <c r="A18" s="218">
        <f t="shared" si="0"/>
        <v>24</v>
      </c>
      <c r="B18" s="47">
        <f t="shared" si="38"/>
        <v>42165</v>
      </c>
      <c r="C18" s="219">
        <f t="shared" si="1"/>
        <v>1</v>
      </c>
      <c r="D18" s="220" t="str">
        <f t="shared" si="2"/>
        <v/>
      </c>
      <c r="E18" s="298" t="str">
        <f t="shared" si="3"/>
        <v/>
      </c>
      <c r="F18" s="87">
        <f t="shared" si="4"/>
        <v>42165</v>
      </c>
      <c r="G18" s="147"/>
      <c r="H18" s="74"/>
      <c r="I18" s="75"/>
      <c r="J18" s="221">
        <f t="shared" si="5"/>
        <v>0</v>
      </c>
      <c r="K18" s="76"/>
      <c r="L18" s="221">
        <f t="shared" si="43"/>
        <v>0</v>
      </c>
      <c r="M18" s="74"/>
      <c r="N18" s="75"/>
      <c r="O18" s="221">
        <f t="shared" si="6"/>
        <v>0</v>
      </c>
      <c r="P18" s="76"/>
      <c r="Q18" s="221">
        <f t="shared" si="44"/>
        <v>0</v>
      </c>
      <c r="R18" s="221">
        <f t="shared" si="45"/>
        <v>0</v>
      </c>
      <c r="S18" s="221">
        <f t="shared" si="7"/>
        <v>0</v>
      </c>
      <c r="T18" s="79">
        <f t="shared" si="8"/>
        <v>0</v>
      </c>
      <c r="U18" s="79">
        <f t="shared" si="39"/>
        <v>0</v>
      </c>
      <c r="V18" s="80">
        <f t="shared" ca="1" si="9"/>
        <v>0.33333333329999998</v>
      </c>
      <c r="W18" s="249" t="str">
        <f t="shared" ca="1" si="10"/>
        <v/>
      </c>
      <c r="X18" s="293"/>
      <c r="Y18" s="221">
        <f t="shared" si="11"/>
        <v>0</v>
      </c>
      <c r="Z18" s="299">
        <f ca="1">IF(B18="","",INDIRECT(ADDRESS(MATCH(B18,Soll_AZ,1)+MATCH("Arbeitszeit 1 ab",Voreinstellung_Übersicht!B:B,0)-1,WEEKDAY(B18,2)+4,,,"Voreinstellung_Übersicht"),TRUE))</f>
        <v>0.33333333333333331</v>
      </c>
      <c r="AA18" s="300">
        <f t="shared" ca="1" si="40"/>
        <v>0</v>
      </c>
      <c r="AB18" s="219">
        <f t="shared" si="12"/>
        <v>0</v>
      </c>
      <c r="AC18" s="219">
        <f t="shared" si="13"/>
        <v>0</v>
      </c>
      <c r="AD18" s="219">
        <f t="shared" si="14"/>
        <v>0</v>
      </c>
      <c r="AE18" s="219">
        <f t="shared" si="15"/>
        <v>0</v>
      </c>
      <c r="AF18" s="219">
        <f t="shared" si="16"/>
        <v>0</v>
      </c>
      <c r="AG18" s="219">
        <f t="shared" si="17"/>
        <v>0</v>
      </c>
      <c r="AH18" s="219">
        <f t="shared" si="18"/>
        <v>0</v>
      </c>
      <c r="AI18" s="219">
        <f t="shared" si="19"/>
        <v>0</v>
      </c>
      <c r="AJ18" s="219">
        <f t="shared" si="20"/>
        <v>0</v>
      </c>
      <c r="AK18" s="219">
        <f t="shared" si="21"/>
        <v>0</v>
      </c>
      <c r="AL18" s="219">
        <f t="shared" si="22"/>
        <v>0</v>
      </c>
      <c r="AM18" s="219">
        <f t="shared" si="23"/>
        <v>0</v>
      </c>
      <c r="AN18" s="301">
        <f t="shared" si="24"/>
        <v>0</v>
      </c>
      <c r="AO18" s="301">
        <f t="shared" si="25"/>
        <v>0</v>
      </c>
      <c r="AP18" s="301">
        <f t="shared" si="26"/>
        <v>0</v>
      </c>
      <c r="AQ18" s="301">
        <f t="shared" si="27"/>
        <v>0</v>
      </c>
      <c r="AR18" s="301">
        <f t="shared" si="28"/>
        <v>0</v>
      </c>
      <c r="AS18" s="301">
        <f t="shared" si="29"/>
        <v>0</v>
      </c>
      <c r="AT18" s="302">
        <f t="shared" si="30"/>
        <v>0</v>
      </c>
      <c r="AU18" s="302">
        <f t="shared" si="31"/>
        <v>0</v>
      </c>
      <c r="AV18" s="81">
        <f t="shared" si="32"/>
        <v>0</v>
      </c>
      <c r="AW18" s="82">
        <f t="shared" si="33"/>
        <v>0</v>
      </c>
      <c r="AX18" s="81">
        <f t="shared" si="34"/>
        <v>0</v>
      </c>
      <c r="AY18" s="83">
        <f t="shared" si="35"/>
        <v>0</v>
      </c>
      <c r="AZ18" s="83">
        <f t="shared" si="36"/>
        <v>0</v>
      </c>
      <c r="BA18" s="82">
        <f>IF(OR(B18=Feiertage!$A$16,B18=Feiertage!$A$19),U18*Zuschläge_24_31/100,IF(AZ18&gt;0,AZ18*Feiertag_mit/100,IF(AX18&gt;0,AX18*Zuschläge_Sa/100,IF(AY18&gt;0,AY18*Zuschlag_So/100,0))))</f>
        <v>0</v>
      </c>
      <c r="BB18" s="82">
        <f>IF(AND(B18&lt;&gt;0,G18=Voreinstellung_Übersicht!$D$41),IF(EG=1,W18*Über_klein/100,IF(EG=2,W18*Über_groß/100,"Fehler")),0)</f>
        <v>0</v>
      </c>
      <c r="BC18" s="299">
        <f t="shared" ca="1" si="41"/>
        <v>0</v>
      </c>
      <c r="BD18" s="219">
        <f t="shared" ca="1" si="37"/>
        <v>1</v>
      </c>
      <c r="BE18" s="303">
        <f ca="1">IF(B18="","",INDIRECT(ADDRESS(MATCH(B18,Soll_AZ,1)+MATCH("Arbeitszeit 1 ab",Voreinstellung_Übersicht!B:B,0)-1,4,,,"Voreinstellung_Übersicht"),TRUE))</f>
        <v>1.6666666666666665</v>
      </c>
      <c r="BF18" s="1">
        <f t="shared" si="42"/>
        <v>0</v>
      </c>
    </row>
    <row r="19" spans="1:58" s="1" customFormat="1" ht="15" x14ac:dyDescent="0.3">
      <c r="A19" s="218">
        <f t="shared" si="0"/>
        <v>24</v>
      </c>
      <c r="B19" s="47">
        <f t="shared" si="38"/>
        <v>42166</v>
      </c>
      <c r="C19" s="219">
        <f t="shared" si="1"/>
        <v>1</v>
      </c>
      <c r="D19" s="220" t="str">
        <f t="shared" si="2"/>
        <v/>
      </c>
      <c r="E19" s="298" t="str">
        <f t="shared" si="3"/>
        <v/>
      </c>
      <c r="F19" s="87">
        <f t="shared" si="4"/>
        <v>42166</v>
      </c>
      <c r="G19" s="147"/>
      <c r="H19" s="74"/>
      <c r="I19" s="75"/>
      <c r="J19" s="221">
        <f t="shared" si="5"/>
        <v>0</v>
      </c>
      <c r="K19" s="76"/>
      <c r="L19" s="221">
        <f t="shared" si="43"/>
        <v>0</v>
      </c>
      <c r="M19" s="74"/>
      <c r="N19" s="75"/>
      <c r="O19" s="221">
        <f t="shared" si="6"/>
        <v>0</v>
      </c>
      <c r="P19" s="76"/>
      <c r="Q19" s="221">
        <f t="shared" si="44"/>
        <v>0</v>
      </c>
      <c r="R19" s="221">
        <f t="shared" si="45"/>
        <v>0</v>
      </c>
      <c r="S19" s="221">
        <f t="shared" si="7"/>
        <v>0</v>
      </c>
      <c r="T19" s="79">
        <f t="shared" si="8"/>
        <v>0</v>
      </c>
      <c r="U19" s="79">
        <f t="shared" si="39"/>
        <v>0</v>
      </c>
      <c r="V19" s="80">
        <f t="shared" ca="1" si="9"/>
        <v>0.33333333329999998</v>
      </c>
      <c r="W19" s="249" t="str">
        <f t="shared" ca="1" si="10"/>
        <v/>
      </c>
      <c r="X19" s="293"/>
      <c r="Y19" s="221">
        <f t="shared" si="11"/>
        <v>0</v>
      </c>
      <c r="Z19" s="299">
        <f ca="1">IF(B19="","",INDIRECT(ADDRESS(MATCH(B19,Soll_AZ,1)+MATCH("Arbeitszeit 1 ab",Voreinstellung_Übersicht!B:B,0)-1,WEEKDAY(B19,2)+4,,,"Voreinstellung_Übersicht"),TRUE))</f>
        <v>0.33333333333333331</v>
      </c>
      <c r="AA19" s="300">
        <f t="shared" ca="1" si="40"/>
        <v>0</v>
      </c>
      <c r="AB19" s="219">
        <f t="shared" si="12"/>
        <v>0</v>
      </c>
      <c r="AC19" s="219">
        <f t="shared" si="13"/>
        <v>0</v>
      </c>
      <c r="AD19" s="219">
        <f t="shared" si="14"/>
        <v>0</v>
      </c>
      <c r="AE19" s="219">
        <f t="shared" si="15"/>
        <v>0</v>
      </c>
      <c r="AF19" s="219">
        <f t="shared" si="16"/>
        <v>0</v>
      </c>
      <c r="AG19" s="219">
        <f t="shared" si="17"/>
        <v>0</v>
      </c>
      <c r="AH19" s="219">
        <f t="shared" si="18"/>
        <v>0</v>
      </c>
      <c r="AI19" s="219">
        <f t="shared" si="19"/>
        <v>0</v>
      </c>
      <c r="AJ19" s="219">
        <f t="shared" si="20"/>
        <v>0</v>
      </c>
      <c r="AK19" s="219">
        <f t="shared" si="21"/>
        <v>0</v>
      </c>
      <c r="AL19" s="219">
        <f t="shared" si="22"/>
        <v>0</v>
      </c>
      <c r="AM19" s="219">
        <f t="shared" si="23"/>
        <v>0</v>
      </c>
      <c r="AN19" s="301">
        <f t="shared" si="24"/>
        <v>0</v>
      </c>
      <c r="AO19" s="301">
        <f t="shared" si="25"/>
        <v>0</v>
      </c>
      <c r="AP19" s="301">
        <f t="shared" si="26"/>
        <v>0</v>
      </c>
      <c r="AQ19" s="301">
        <f t="shared" si="27"/>
        <v>0</v>
      </c>
      <c r="AR19" s="301">
        <f t="shared" si="28"/>
        <v>0</v>
      </c>
      <c r="AS19" s="301">
        <f t="shared" si="29"/>
        <v>0</v>
      </c>
      <c r="AT19" s="302">
        <f t="shared" si="30"/>
        <v>0</v>
      </c>
      <c r="AU19" s="302">
        <f t="shared" si="31"/>
        <v>0</v>
      </c>
      <c r="AV19" s="81">
        <f t="shared" si="32"/>
        <v>0</v>
      </c>
      <c r="AW19" s="82">
        <f t="shared" si="33"/>
        <v>0</v>
      </c>
      <c r="AX19" s="81">
        <f t="shared" si="34"/>
        <v>0</v>
      </c>
      <c r="AY19" s="83">
        <f t="shared" si="35"/>
        <v>0</v>
      </c>
      <c r="AZ19" s="83">
        <f t="shared" si="36"/>
        <v>0</v>
      </c>
      <c r="BA19" s="82">
        <f>IF(OR(B19=Feiertage!$A$16,B19=Feiertage!$A$19),U19*Zuschläge_24_31/100,IF(AZ19&gt;0,AZ19*Feiertag_mit/100,IF(AX19&gt;0,AX19*Zuschläge_Sa/100,IF(AY19&gt;0,AY19*Zuschlag_So/100,0))))</f>
        <v>0</v>
      </c>
      <c r="BB19" s="82">
        <f>IF(AND(B19&lt;&gt;0,G19=Voreinstellung_Übersicht!$D$41),IF(EG=1,W19*Über_klein/100,IF(EG=2,W19*Über_groß/100,"Fehler")),0)</f>
        <v>0</v>
      </c>
      <c r="BC19" s="299">
        <f t="shared" ca="1" si="41"/>
        <v>0</v>
      </c>
      <c r="BD19" s="219">
        <f t="shared" ca="1" si="37"/>
        <v>1</v>
      </c>
      <c r="BE19" s="303">
        <f ca="1">IF(B19="","",INDIRECT(ADDRESS(MATCH(B19,Soll_AZ,1)+MATCH("Arbeitszeit 1 ab",Voreinstellung_Übersicht!B:B,0)-1,4,,,"Voreinstellung_Übersicht"),TRUE))</f>
        <v>1.6666666666666665</v>
      </c>
      <c r="BF19" s="1">
        <f t="shared" si="42"/>
        <v>0</v>
      </c>
    </row>
    <row r="20" spans="1:58" s="1" customFormat="1" ht="15" x14ac:dyDescent="0.3">
      <c r="A20" s="218">
        <f t="shared" si="0"/>
        <v>24</v>
      </c>
      <c r="B20" s="47">
        <f t="shared" si="38"/>
        <v>42167</v>
      </c>
      <c r="C20" s="219">
        <f t="shared" si="1"/>
        <v>1</v>
      </c>
      <c r="D20" s="220" t="str">
        <f t="shared" si="2"/>
        <v/>
      </c>
      <c r="E20" s="298" t="str">
        <f t="shared" si="3"/>
        <v/>
      </c>
      <c r="F20" s="87">
        <f t="shared" si="4"/>
        <v>42167</v>
      </c>
      <c r="G20" s="147"/>
      <c r="H20" s="74"/>
      <c r="I20" s="75"/>
      <c r="J20" s="221">
        <f t="shared" si="5"/>
        <v>0</v>
      </c>
      <c r="K20" s="76"/>
      <c r="L20" s="221">
        <f t="shared" si="43"/>
        <v>0</v>
      </c>
      <c r="M20" s="74"/>
      <c r="N20" s="75"/>
      <c r="O20" s="221">
        <f t="shared" si="6"/>
        <v>0</v>
      </c>
      <c r="P20" s="76"/>
      <c r="Q20" s="221">
        <f t="shared" si="44"/>
        <v>0</v>
      </c>
      <c r="R20" s="221">
        <f t="shared" si="45"/>
        <v>0</v>
      </c>
      <c r="S20" s="221">
        <f t="shared" si="7"/>
        <v>0</v>
      </c>
      <c r="T20" s="79">
        <f t="shared" si="8"/>
        <v>0</v>
      </c>
      <c r="U20" s="79">
        <f t="shared" si="39"/>
        <v>0</v>
      </c>
      <c r="V20" s="80">
        <f t="shared" ca="1" si="9"/>
        <v>0.33333333329999998</v>
      </c>
      <c r="W20" s="249" t="str">
        <f t="shared" ca="1" si="10"/>
        <v/>
      </c>
      <c r="X20" s="293"/>
      <c r="Y20" s="221">
        <f t="shared" si="11"/>
        <v>0</v>
      </c>
      <c r="Z20" s="299">
        <f ca="1">IF(B20="","",INDIRECT(ADDRESS(MATCH(B20,Soll_AZ,1)+MATCH("Arbeitszeit 1 ab",Voreinstellung_Übersicht!B:B,0)-1,WEEKDAY(B20,2)+4,,,"Voreinstellung_Übersicht"),TRUE))</f>
        <v>0.33333333333333331</v>
      </c>
      <c r="AA20" s="300">
        <f t="shared" ca="1" si="40"/>
        <v>0</v>
      </c>
      <c r="AB20" s="219">
        <f t="shared" si="12"/>
        <v>0</v>
      </c>
      <c r="AC20" s="219">
        <f t="shared" si="13"/>
        <v>0</v>
      </c>
      <c r="AD20" s="219">
        <f t="shared" si="14"/>
        <v>0</v>
      </c>
      <c r="AE20" s="219">
        <f t="shared" si="15"/>
        <v>0</v>
      </c>
      <c r="AF20" s="219">
        <f t="shared" si="16"/>
        <v>0</v>
      </c>
      <c r="AG20" s="219">
        <f t="shared" si="17"/>
        <v>0</v>
      </c>
      <c r="AH20" s="219">
        <f t="shared" si="18"/>
        <v>0</v>
      </c>
      <c r="AI20" s="219">
        <f t="shared" si="19"/>
        <v>0</v>
      </c>
      <c r="AJ20" s="219">
        <f t="shared" si="20"/>
        <v>0</v>
      </c>
      <c r="AK20" s="219">
        <f t="shared" si="21"/>
        <v>0</v>
      </c>
      <c r="AL20" s="219">
        <f t="shared" si="22"/>
        <v>0</v>
      </c>
      <c r="AM20" s="219">
        <f t="shared" si="23"/>
        <v>0</v>
      </c>
      <c r="AN20" s="301">
        <f t="shared" si="24"/>
        <v>0</v>
      </c>
      <c r="AO20" s="301">
        <f t="shared" si="25"/>
        <v>0</v>
      </c>
      <c r="AP20" s="301">
        <f t="shared" si="26"/>
        <v>0</v>
      </c>
      <c r="AQ20" s="301">
        <f t="shared" si="27"/>
        <v>0</v>
      </c>
      <c r="AR20" s="301">
        <f t="shared" si="28"/>
        <v>0</v>
      </c>
      <c r="AS20" s="301">
        <f t="shared" si="29"/>
        <v>0</v>
      </c>
      <c r="AT20" s="302">
        <f t="shared" si="30"/>
        <v>0</v>
      </c>
      <c r="AU20" s="302">
        <f t="shared" si="31"/>
        <v>0</v>
      </c>
      <c r="AV20" s="81">
        <f t="shared" si="32"/>
        <v>0</v>
      </c>
      <c r="AW20" s="82">
        <f t="shared" si="33"/>
        <v>0</v>
      </c>
      <c r="AX20" s="81">
        <f t="shared" si="34"/>
        <v>0</v>
      </c>
      <c r="AY20" s="83">
        <f t="shared" si="35"/>
        <v>0</v>
      </c>
      <c r="AZ20" s="83">
        <f t="shared" si="36"/>
        <v>0</v>
      </c>
      <c r="BA20" s="82">
        <f>IF(OR(B20=Feiertage!$A$16,B20=Feiertage!$A$19),U20*Zuschläge_24_31/100,IF(AZ20&gt;0,AZ20*Feiertag_mit/100,IF(AX20&gt;0,AX20*Zuschläge_Sa/100,IF(AY20&gt;0,AY20*Zuschlag_So/100,0))))</f>
        <v>0</v>
      </c>
      <c r="BB20" s="82">
        <f>IF(AND(B20&lt;&gt;0,G20=Voreinstellung_Übersicht!$D$41),IF(EG=1,W20*Über_klein/100,IF(EG=2,W20*Über_groß/100,"Fehler")),0)</f>
        <v>0</v>
      </c>
      <c r="BC20" s="299">
        <f t="shared" ca="1" si="41"/>
        <v>0</v>
      </c>
      <c r="BD20" s="219">
        <f t="shared" ca="1" si="37"/>
        <v>1</v>
      </c>
      <c r="BE20" s="303">
        <f ca="1">IF(B20="","",INDIRECT(ADDRESS(MATCH(B20,Soll_AZ,1)+MATCH("Arbeitszeit 1 ab",Voreinstellung_Übersicht!B:B,0)-1,4,,,"Voreinstellung_Übersicht"),TRUE))</f>
        <v>1.6666666666666665</v>
      </c>
      <c r="BF20" s="1">
        <f t="shared" si="42"/>
        <v>0</v>
      </c>
    </row>
    <row r="21" spans="1:58" s="1" customFormat="1" ht="15" x14ac:dyDescent="0.3">
      <c r="A21" s="218">
        <f t="shared" si="0"/>
        <v>24</v>
      </c>
      <c r="B21" s="47">
        <f t="shared" si="38"/>
        <v>42168</v>
      </c>
      <c r="C21" s="219">
        <f t="shared" si="1"/>
        <v>1</v>
      </c>
      <c r="D21" s="220" t="str">
        <f t="shared" si="2"/>
        <v/>
      </c>
      <c r="E21" s="298" t="str">
        <f t="shared" si="3"/>
        <v/>
      </c>
      <c r="F21" s="87">
        <f t="shared" si="4"/>
        <v>42168</v>
      </c>
      <c r="G21" s="147"/>
      <c r="H21" s="74"/>
      <c r="I21" s="75"/>
      <c r="J21" s="221">
        <f t="shared" si="5"/>
        <v>0</v>
      </c>
      <c r="K21" s="76"/>
      <c r="L21" s="221">
        <f t="shared" si="43"/>
        <v>0</v>
      </c>
      <c r="M21" s="74"/>
      <c r="N21" s="75"/>
      <c r="O21" s="221">
        <f t="shared" si="6"/>
        <v>0</v>
      </c>
      <c r="P21" s="76"/>
      <c r="Q21" s="221">
        <f t="shared" si="44"/>
        <v>0</v>
      </c>
      <c r="R21" s="221">
        <f t="shared" si="45"/>
        <v>0</v>
      </c>
      <c r="S21" s="221">
        <f t="shared" si="7"/>
        <v>0</v>
      </c>
      <c r="T21" s="79">
        <f t="shared" si="8"/>
        <v>0</v>
      </c>
      <c r="U21" s="79">
        <f t="shared" si="39"/>
        <v>0</v>
      </c>
      <c r="V21" s="80">
        <f t="shared" ca="1" si="9"/>
        <v>0.33333333329999998</v>
      </c>
      <c r="W21" s="249" t="str">
        <f t="shared" ca="1" si="10"/>
        <v/>
      </c>
      <c r="X21" s="293"/>
      <c r="Y21" s="221">
        <f t="shared" si="11"/>
        <v>0</v>
      </c>
      <c r="Z21" s="299">
        <f ca="1">IF(B21="","",INDIRECT(ADDRESS(MATCH(B21,Soll_AZ,1)+MATCH("Arbeitszeit 1 ab",Voreinstellung_Übersicht!B:B,0)-1,WEEKDAY(B21,2)+4,,,"Voreinstellung_Übersicht"),TRUE))</f>
        <v>0.33333333333333331</v>
      </c>
      <c r="AA21" s="300">
        <f t="shared" ca="1" si="40"/>
        <v>0</v>
      </c>
      <c r="AB21" s="219">
        <f t="shared" si="12"/>
        <v>0</v>
      </c>
      <c r="AC21" s="219">
        <f t="shared" si="13"/>
        <v>0</v>
      </c>
      <c r="AD21" s="219">
        <f t="shared" si="14"/>
        <v>0</v>
      </c>
      <c r="AE21" s="219">
        <f t="shared" si="15"/>
        <v>0</v>
      </c>
      <c r="AF21" s="219">
        <f t="shared" si="16"/>
        <v>0</v>
      </c>
      <c r="AG21" s="219">
        <f t="shared" si="17"/>
        <v>0</v>
      </c>
      <c r="AH21" s="219">
        <f t="shared" si="18"/>
        <v>0</v>
      </c>
      <c r="AI21" s="219">
        <f t="shared" si="19"/>
        <v>0</v>
      </c>
      <c r="AJ21" s="219">
        <f t="shared" si="20"/>
        <v>0</v>
      </c>
      <c r="AK21" s="219">
        <f t="shared" si="21"/>
        <v>0</v>
      </c>
      <c r="AL21" s="219">
        <f t="shared" si="22"/>
        <v>0</v>
      </c>
      <c r="AM21" s="219">
        <f t="shared" si="23"/>
        <v>0</v>
      </c>
      <c r="AN21" s="301">
        <f t="shared" si="24"/>
        <v>0</v>
      </c>
      <c r="AO21" s="301">
        <f t="shared" si="25"/>
        <v>0</v>
      </c>
      <c r="AP21" s="301">
        <f t="shared" si="26"/>
        <v>0</v>
      </c>
      <c r="AQ21" s="301">
        <f t="shared" si="27"/>
        <v>0</v>
      </c>
      <c r="AR21" s="301">
        <f t="shared" si="28"/>
        <v>0</v>
      </c>
      <c r="AS21" s="301">
        <f t="shared" si="29"/>
        <v>0</v>
      </c>
      <c r="AT21" s="302">
        <f t="shared" si="30"/>
        <v>0</v>
      </c>
      <c r="AU21" s="302">
        <f t="shared" si="31"/>
        <v>0</v>
      </c>
      <c r="AV21" s="81">
        <f t="shared" si="32"/>
        <v>0</v>
      </c>
      <c r="AW21" s="82">
        <f t="shared" si="33"/>
        <v>0</v>
      </c>
      <c r="AX21" s="81">
        <f t="shared" si="34"/>
        <v>0</v>
      </c>
      <c r="AY21" s="83">
        <f t="shared" si="35"/>
        <v>0</v>
      </c>
      <c r="AZ21" s="83">
        <f t="shared" si="36"/>
        <v>0</v>
      </c>
      <c r="BA21" s="82">
        <f>IF(OR(B21=Feiertage!$A$16,B21=Feiertage!$A$19),U21*Zuschläge_24_31/100,IF(AZ21&gt;0,AZ21*Feiertag_mit/100,IF(AX21&gt;0,AX21*Zuschläge_Sa/100,IF(AY21&gt;0,AY21*Zuschlag_So/100,0))))</f>
        <v>0</v>
      </c>
      <c r="BB21" s="82">
        <f>IF(AND(B21&lt;&gt;0,G21=Voreinstellung_Übersicht!$D$41),IF(EG=1,W21*Über_klein/100,IF(EG=2,W21*Über_groß/100,"Fehler")),0)</f>
        <v>0</v>
      </c>
      <c r="BC21" s="299">
        <f t="shared" ca="1" si="41"/>
        <v>0</v>
      </c>
      <c r="BD21" s="219">
        <f t="shared" ca="1" si="37"/>
        <v>1</v>
      </c>
      <c r="BE21" s="303">
        <f ca="1">IF(B21="","",INDIRECT(ADDRESS(MATCH(B21,Soll_AZ,1)+MATCH("Arbeitszeit 1 ab",Voreinstellung_Übersicht!B:B,0)-1,4,,,"Voreinstellung_Übersicht"),TRUE))</f>
        <v>1.6666666666666665</v>
      </c>
      <c r="BF21" s="1">
        <f t="shared" si="42"/>
        <v>0</v>
      </c>
    </row>
    <row r="22" spans="1:58" s="1" customFormat="1" ht="15" x14ac:dyDescent="0.3">
      <c r="A22" s="218">
        <f t="shared" si="0"/>
        <v>24</v>
      </c>
      <c r="B22" s="47">
        <f t="shared" si="38"/>
        <v>42169</v>
      </c>
      <c r="C22" s="219">
        <f t="shared" si="1"/>
        <v>0</v>
      </c>
      <c r="D22" s="220" t="str">
        <f t="shared" si="2"/>
        <v/>
      </c>
      <c r="E22" s="298" t="str">
        <f t="shared" si="3"/>
        <v/>
      </c>
      <c r="F22" s="87">
        <f t="shared" si="4"/>
        <v>42169</v>
      </c>
      <c r="G22" s="147"/>
      <c r="H22" s="74"/>
      <c r="I22" s="75"/>
      <c r="J22" s="221">
        <f t="shared" si="5"/>
        <v>0</v>
      </c>
      <c r="K22" s="76"/>
      <c r="L22" s="221">
        <f t="shared" si="43"/>
        <v>0</v>
      </c>
      <c r="M22" s="74"/>
      <c r="N22" s="75"/>
      <c r="O22" s="221">
        <f t="shared" si="6"/>
        <v>0</v>
      </c>
      <c r="P22" s="76"/>
      <c r="Q22" s="221">
        <f t="shared" si="44"/>
        <v>0</v>
      </c>
      <c r="R22" s="221">
        <f t="shared" si="45"/>
        <v>0</v>
      </c>
      <c r="S22" s="221">
        <f t="shared" si="7"/>
        <v>0</v>
      </c>
      <c r="T22" s="79">
        <f t="shared" si="8"/>
        <v>0</v>
      </c>
      <c r="U22" s="79">
        <f t="shared" si="39"/>
        <v>0</v>
      </c>
      <c r="V22" s="80">
        <f t="shared" ca="1" si="9"/>
        <v>0</v>
      </c>
      <c r="W22" s="249" t="str">
        <f t="shared" ca="1" si="10"/>
        <v/>
      </c>
      <c r="X22" s="293"/>
      <c r="Y22" s="221">
        <f t="shared" si="11"/>
        <v>0</v>
      </c>
      <c r="Z22" s="299">
        <f ca="1">IF(B22="","",INDIRECT(ADDRESS(MATCH(B22,Soll_AZ,1)+MATCH("Arbeitszeit 1 ab",Voreinstellung_Übersicht!B:B,0)-1,WEEKDAY(B22,2)+4,,,"Voreinstellung_Übersicht"),TRUE))</f>
        <v>0</v>
      </c>
      <c r="AA22" s="300">
        <f t="shared" ca="1" si="40"/>
        <v>0</v>
      </c>
      <c r="AB22" s="219">
        <f t="shared" si="12"/>
        <v>0</v>
      </c>
      <c r="AC22" s="219">
        <f t="shared" si="13"/>
        <v>0</v>
      </c>
      <c r="AD22" s="219">
        <f t="shared" si="14"/>
        <v>0</v>
      </c>
      <c r="AE22" s="219">
        <f t="shared" si="15"/>
        <v>0</v>
      </c>
      <c r="AF22" s="219">
        <f t="shared" si="16"/>
        <v>0</v>
      </c>
      <c r="AG22" s="219">
        <f t="shared" si="17"/>
        <v>0</v>
      </c>
      <c r="AH22" s="219">
        <f t="shared" si="18"/>
        <v>0</v>
      </c>
      <c r="AI22" s="219">
        <f t="shared" si="19"/>
        <v>0</v>
      </c>
      <c r="AJ22" s="219">
        <f t="shared" si="20"/>
        <v>0</v>
      </c>
      <c r="AK22" s="219">
        <f t="shared" si="21"/>
        <v>0</v>
      </c>
      <c r="AL22" s="219">
        <f t="shared" si="22"/>
        <v>0</v>
      </c>
      <c r="AM22" s="219">
        <f t="shared" si="23"/>
        <v>0</v>
      </c>
      <c r="AN22" s="301">
        <f t="shared" si="24"/>
        <v>0</v>
      </c>
      <c r="AO22" s="301">
        <f t="shared" si="25"/>
        <v>0</v>
      </c>
      <c r="AP22" s="301">
        <f t="shared" si="26"/>
        <v>0</v>
      </c>
      <c r="AQ22" s="301">
        <f t="shared" si="27"/>
        <v>0</v>
      </c>
      <c r="AR22" s="301">
        <f t="shared" si="28"/>
        <v>0</v>
      </c>
      <c r="AS22" s="301">
        <f t="shared" si="29"/>
        <v>0</v>
      </c>
      <c r="AT22" s="302">
        <f t="shared" si="30"/>
        <v>0</v>
      </c>
      <c r="AU22" s="302">
        <f t="shared" si="31"/>
        <v>0</v>
      </c>
      <c r="AV22" s="81">
        <f t="shared" si="32"/>
        <v>0</v>
      </c>
      <c r="AW22" s="82">
        <f t="shared" si="33"/>
        <v>0</v>
      </c>
      <c r="AX22" s="81">
        <f t="shared" si="34"/>
        <v>0</v>
      </c>
      <c r="AY22" s="83">
        <f t="shared" si="35"/>
        <v>0</v>
      </c>
      <c r="AZ22" s="83">
        <f t="shared" si="36"/>
        <v>0</v>
      </c>
      <c r="BA22" s="82">
        <f>IF(OR(B22=Feiertage!$A$16,B22=Feiertage!$A$19),U22*Zuschläge_24_31/100,IF(AZ22&gt;0,AZ22*Feiertag_mit/100,IF(AX22&gt;0,AX22*Zuschläge_Sa/100,IF(AY22&gt;0,AY22*Zuschlag_So/100,0))))</f>
        <v>0</v>
      </c>
      <c r="BB22" s="82">
        <f>IF(AND(B22&lt;&gt;0,G22=Voreinstellung_Übersicht!$D$41),IF(EG=1,W22*Über_klein/100,IF(EG=2,W22*Über_groß/100,"Fehler")),0)</f>
        <v>0</v>
      </c>
      <c r="BC22" s="299">
        <f t="shared" ca="1" si="41"/>
        <v>0</v>
      </c>
      <c r="BD22" s="219">
        <f t="shared" ca="1" si="37"/>
        <v>1</v>
      </c>
      <c r="BE22" s="303">
        <f ca="1">IF(B22="","",INDIRECT(ADDRESS(MATCH(B22,Soll_AZ,1)+MATCH("Arbeitszeit 1 ab",Voreinstellung_Übersicht!B:B,0)-1,4,,,"Voreinstellung_Übersicht"),TRUE))</f>
        <v>1.6666666666666665</v>
      </c>
      <c r="BF22" s="1">
        <f t="shared" si="42"/>
        <v>0</v>
      </c>
    </row>
    <row r="23" spans="1:58" s="1" customFormat="1" ht="15" x14ac:dyDescent="0.3">
      <c r="A23" s="218">
        <f t="shared" si="0"/>
        <v>25</v>
      </c>
      <c r="B23" s="47">
        <f t="shared" si="38"/>
        <v>42170</v>
      </c>
      <c r="C23" s="219">
        <f t="shared" si="1"/>
        <v>0</v>
      </c>
      <c r="D23" s="220" t="str">
        <f t="shared" si="2"/>
        <v/>
      </c>
      <c r="E23" s="298" t="str">
        <f t="shared" si="3"/>
        <v/>
      </c>
      <c r="F23" s="87">
        <f t="shared" si="4"/>
        <v>42170</v>
      </c>
      <c r="G23" s="147"/>
      <c r="H23" s="74"/>
      <c r="I23" s="75"/>
      <c r="J23" s="221">
        <f t="shared" si="5"/>
        <v>0</v>
      </c>
      <c r="K23" s="76"/>
      <c r="L23" s="221">
        <f t="shared" si="43"/>
        <v>0</v>
      </c>
      <c r="M23" s="74"/>
      <c r="N23" s="75"/>
      <c r="O23" s="221">
        <f t="shared" si="6"/>
        <v>0</v>
      </c>
      <c r="P23" s="76"/>
      <c r="Q23" s="221">
        <f t="shared" si="44"/>
        <v>0</v>
      </c>
      <c r="R23" s="221">
        <f t="shared" si="45"/>
        <v>0</v>
      </c>
      <c r="S23" s="221">
        <f t="shared" si="7"/>
        <v>0</v>
      </c>
      <c r="T23" s="79">
        <f t="shared" si="8"/>
        <v>0</v>
      </c>
      <c r="U23" s="79">
        <f t="shared" si="39"/>
        <v>0</v>
      </c>
      <c r="V23" s="80">
        <f t="shared" ca="1" si="9"/>
        <v>0</v>
      </c>
      <c r="W23" s="249" t="str">
        <f t="shared" ca="1" si="10"/>
        <v/>
      </c>
      <c r="X23" s="293"/>
      <c r="Y23" s="221">
        <f t="shared" si="11"/>
        <v>0</v>
      </c>
      <c r="Z23" s="299">
        <f ca="1">IF(B23="","",INDIRECT(ADDRESS(MATCH(B23,Soll_AZ,1)+MATCH("Arbeitszeit 1 ab",Voreinstellung_Übersicht!B:B,0)-1,WEEKDAY(B23,2)+4,,,"Voreinstellung_Übersicht"),TRUE))</f>
        <v>0</v>
      </c>
      <c r="AA23" s="300">
        <f t="shared" ca="1" si="40"/>
        <v>0</v>
      </c>
      <c r="AB23" s="219">
        <f t="shared" si="12"/>
        <v>0</v>
      </c>
      <c r="AC23" s="219">
        <f t="shared" si="13"/>
        <v>0</v>
      </c>
      <c r="AD23" s="219">
        <f t="shared" si="14"/>
        <v>0</v>
      </c>
      <c r="AE23" s="219">
        <f t="shared" si="15"/>
        <v>0</v>
      </c>
      <c r="AF23" s="219">
        <f t="shared" si="16"/>
        <v>0</v>
      </c>
      <c r="AG23" s="219">
        <f t="shared" si="17"/>
        <v>0</v>
      </c>
      <c r="AH23" s="219">
        <f t="shared" si="18"/>
        <v>0</v>
      </c>
      <c r="AI23" s="219">
        <f t="shared" si="19"/>
        <v>0</v>
      </c>
      <c r="AJ23" s="219">
        <f t="shared" si="20"/>
        <v>0</v>
      </c>
      <c r="AK23" s="219">
        <f t="shared" si="21"/>
        <v>0</v>
      </c>
      <c r="AL23" s="219">
        <f t="shared" si="22"/>
        <v>0</v>
      </c>
      <c r="AM23" s="219">
        <f t="shared" si="23"/>
        <v>0</v>
      </c>
      <c r="AN23" s="301">
        <f t="shared" si="24"/>
        <v>0</v>
      </c>
      <c r="AO23" s="301">
        <f t="shared" si="25"/>
        <v>0</v>
      </c>
      <c r="AP23" s="301">
        <f t="shared" si="26"/>
        <v>0</v>
      </c>
      <c r="AQ23" s="301">
        <f t="shared" si="27"/>
        <v>0</v>
      </c>
      <c r="AR23" s="301">
        <f t="shared" si="28"/>
        <v>0</v>
      </c>
      <c r="AS23" s="301">
        <f t="shared" si="29"/>
        <v>0</v>
      </c>
      <c r="AT23" s="302">
        <f t="shared" si="30"/>
        <v>0</v>
      </c>
      <c r="AU23" s="302">
        <f t="shared" si="31"/>
        <v>0</v>
      </c>
      <c r="AV23" s="81">
        <f t="shared" si="32"/>
        <v>0</v>
      </c>
      <c r="AW23" s="82">
        <f t="shared" si="33"/>
        <v>0</v>
      </c>
      <c r="AX23" s="81">
        <f t="shared" si="34"/>
        <v>0</v>
      </c>
      <c r="AY23" s="83">
        <f t="shared" si="35"/>
        <v>0</v>
      </c>
      <c r="AZ23" s="83">
        <f t="shared" si="36"/>
        <v>0</v>
      </c>
      <c r="BA23" s="82">
        <f>IF(OR(B23=Feiertage!$A$16,B23=Feiertage!$A$19),U23*Zuschläge_24_31/100,IF(AZ23&gt;0,AZ23*Feiertag_mit/100,IF(AX23&gt;0,AX23*Zuschläge_Sa/100,IF(AY23&gt;0,AY23*Zuschlag_So/100,0))))</f>
        <v>0</v>
      </c>
      <c r="BB23" s="82">
        <f>IF(AND(B23&lt;&gt;0,G23=Voreinstellung_Übersicht!$D$41),IF(EG=1,W23*Über_klein/100,IF(EG=2,W23*Über_groß/100,"Fehler")),0)</f>
        <v>0</v>
      </c>
      <c r="BC23" s="299">
        <f t="shared" ca="1" si="41"/>
        <v>0</v>
      </c>
      <c r="BD23" s="219">
        <f t="shared" ca="1" si="37"/>
        <v>1</v>
      </c>
      <c r="BE23" s="303">
        <f ca="1">IF(B23="","",INDIRECT(ADDRESS(MATCH(B23,Soll_AZ,1)+MATCH("Arbeitszeit 1 ab",Voreinstellung_Übersicht!B:B,0)-1,4,,,"Voreinstellung_Übersicht"),TRUE))</f>
        <v>1.6666666666666665</v>
      </c>
      <c r="BF23" s="1">
        <f t="shared" si="42"/>
        <v>0</v>
      </c>
    </row>
    <row r="24" spans="1:58" s="1" customFormat="1" ht="15" x14ac:dyDescent="0.3">
      <c r="A24" s="218">
        <f t="shared" si="0"/>
        <v>25</v>
      </c>
      <c r="B24" s="47">
        <f t="shared" si="38"/>
        <v>42171</v>
      </c>
      <c r="C24" s="219">
        <f t="shared" si="1"/>
        <v>1</v>
      </c>
      <c r="D24" s="220" t="str">
        <f t="shared" si="2"/>
        <v/>
      </c>
      <c r="E24" s="298" t="str">
        <f t="shared" si="3"/>
        <v/>
      </c>
      <c r="F24" s="87">
        <f t="shared" si="4"/>
        <v>42171</v>
      </c>
      <c r="G24" s="147"/>
      <c r="H24" s="74"/>
      <c r="I24" s="75"/>
      <c r="J24" s="221">
        <f t="shared" si="5"/>
        <v>0</v>
      </c>
      <c r="K24" s="76"/>
      <c r="L24" s="221">
        <f t="shared" si="43"/>
        <v>0</v>
      </c>
      <c r="M24" s="74"/>
      <c r="N24" s="75"/>
      <c r="O24" s="221">
        <f t="shared" si="6"/>
        <v>0</v>
      </c>
      <c r="P24" s="76"/>
      <c r="Q24" s="221">
        <f t="shared" si="44"/>
        <v>0</v>
      </c>
      <c r="R24" s="221">
        <f t="shared" si="45"/>
        <v>0</v>
      </c>
      <c r="S24" s="221">
        <f t="shared" si="7"/>
        <v>0</v>
      </c>
      <c r="T24" s="79">
        <f t="shared" si="8"/>
        <v>0</v>
      </c>
      <c r="U24" s="79">
        <f t="shared" si="39"/>
        <v>0</v>
      </c>
      <c r="V24" s="80">
        <f t="shared" ca="1" si="9"/>
        <v>0.33333333329999998</v>
      </c>
      <c r="W24" s="249" t="str">
        <f t="shared" ca="1" si="10"/>
        <v/>
      </c>
      <c r="X24" s="293"/>
      <c r="Y24" s="221">
        <f t="shared" si="11"/>
        <v>0</v>
      </c>
      <c r="Z24" s="299">
        <f ca="1">IF(B24="","",INDIRECT(ADDRESS(MATCH(B24,Soll_AZ,1)+MATCH("Arbeitszeit 1 ab",Voreinstellung_Übersicht!B:B,0)-1,WEEKDAY(B24,2)+4,,,"Voreinstellung_Übersicht"),TRUE))</f>
        <v>0.33333333333333331</v>
      </c>
      <c r="AA24" s="300">
        <f t="shared" ca="1" si="40"/>
        <v>0</v>
      </c>
      <c r="AB24" s="219">
        <f t="shared" si="12"/>
        <v>0</v>
      </c>
      <c r="AC24" s="219">
        <f t="shared" si="13"/>
        <v>0</v>
      </c>
      <c r="AD24" s="219">
        <f t="shared" si="14"/>
        <v>0</v>
      </c>
      <c r="AE24" s="219">
        <f t="shared" si="15"/>
        <v>0</v>
      </c>
      <c r="AF24" s="219">
        <f t="shared" si="16"/>
        <v>0</v>
      </c>
      <c r="AG24" s="219">
        <f t="shared" si="17"/>
        <v>0</v>
      </c>
      <c r="AH24" s="219">
        <f t="shared" si="18"/>
        <v>0</v>
      </c>
      <c r="AI24" s="219">
        <f t="shared" si="19"/>
        <v>0</v>
      </c>
      <c r="AJ24" s="219">
        <f t="shared" si="20"/>
        <v>0</v>
      </c>
      <c r="AK24" s="219">
        <f t="shared" si="21"/>
        <v>0</v>
      </c>
      <c r="AL24" s="219">
        <f t="shared" si="22"/>
        <v>0</v>
      </c>
      <c r="AM24" s="219">
        <f t="shared" si="23"/>
        <v>0</v>
      </c>
      <c r="AN24" s="301">
        <f t="shared" si="24"/>
        <v>0</v>
      </c>
      <c r="AO24" s="301">
        <f t="shared" si="25"/>
        <v>0</v>
      </c>
      <c r="AP24" s="301">
        <f t="shared" si="26"/>
        <v>0</v>
      </c>
      <c r="AQ24" s="301">
        <f t="shared" si="27"/>
        <v>0</v>
      </c>
      <c r="AR24" s="301">
        <f t="shared" si="28"/>
        <v>0</v>
      </c>
      <c r="AS24" s="301">
        <f t="shared" si="29"/>
        <v>0</v>
      </c>
      <c r="AT24" s="302">
        <f t="shared" si="30"/>
        <v>0</v>
      </c>
      <c r="AU24" s="302">
        <f t="shared" si="31"/>
        <v>0</v>
      </c>
      <c r="AV24" s="81">
        <f t="shared" si="32"/>
        <v>0</v>
      </c>
      <c r="AW24" s="82">
        <f t="shared" si="33"/>
        <v>0</v>
      </c>
      <c r="AX24" s="81">
        <f t="shared" si="34"/>
        <v>0</v>
      </c>
      <c r="AY24" s="83">
        <f t="shared" si="35"/>
        <v>0</v>
      </c>
      <c r="AZ24" s="83">
        <f t="shared" si="36"/>
        <v>0</v>
      </c>
      <c r="BA24" s="82">
        <f>IF(OR(B24=Feiertage!$A$16,B24=Feiertage!$A$19),U24*Zuschläge_24_31/100,IF(AZ24&gt;0,AZ24*Feiertag_mit/100,IF(AX24&gt;0,AX24*Zuschläge_Sa/100,IF(AY24&gt;0,AY24*Zuschlag_So/100,0))))</f>
        <v>0</v>
      </c>
      <c r="BB24" s="82">
        <f>IF(AND(B24&lt;&gt;0,G24=Voreinstellung_Übersicht!$D$41),IF(EG=1,W24*Über_klein/100,IF(EG=2,W24*Über_groß/100,"Fehler")),0)</f>
        <v>0</v>
      </c>
      <c r="BC24" s="299">
        <f t="shared" ca="1" si="41"/>
        <v>0</v>
      </c>
      <c r="BD24" s="219">
        <f t="shared" ca="1" si="37"/>
        <v>1</v>
      </c>
      <c r="BE24" s="303">
        <f ca="1">IF(B24="","",INDIRECT(ADDRESS(MATCH(B24,Soll_AZ,1)+MATCH("Arbeitszeit 1 ab",Voreinstellung_Übersicht!B:B,0)-1,4,,,"Voreinstellung_Übersicht"),TRUE))</f>
        <v>1.6666666666666665</v>
      </c>
      <c r="BF24" s="1">
        <f t="shared" si="42"/>
        <v>0</v>
      </c>
    </row>
    <row r="25" spans="1:58" s="1" customFormat="1" ht="15" x14ac:dyDescent="0.3">
      <c r="A25" s="218">
        <f t="shared" si="0"/>
        <v>25</v>
      </c>
      <c r="B25" s="47">
        <f t="shared" si="38"/>
        <v>42172</v>
      </c>
      <c r="C25" s="219">
        <f t="shared" si="1"/>
        <v>1</v>
      </c>
      <c r="D25" s="220" t="str">
        <f t="shared" si="2"/>
        <v/>
      </c>
      <c r="E25" s="298" t="str">
        <f t="shared" si="3"/>
        <v/>
      </c>
      <c r="F25" s="87">
        <f t="shared" si="4"/>
        <v>42172</v>
      </c>
      <c r="G25" s="147"/>
      <c r="H25" s="74"/>
      <c r="I25" s="75"/>
      <c r="J25" s="221">
        <f t="shared" si="5"/>
        <v>0</v>
      </c>
      <c r="K25" s="76"/>
      <c r="L25" s="221">
        <f t="shared" si="43"/>
        <v>0</v>
      </c>
      <c r="M25" s="74"/>
      <c r="N25" s="75"/>
      <c r="O25" s="221">
        <f t="shared" si="6"/>
        <v>0</v>
      </c>
      <c r="P25" s="76"/>
      <c r="Q25" s="221">
        <f t="shared" si="44"/>
        <v>0</v>
      </c>
      <c r="R25" s="221">
        <f t="shared" si="45"/>
        <v>0</v>
      </c>
      <c r="S25" s="221">
        <f t="shared" si="7"/>
        <v>0</v>
      </c>
      <c r="T25" s="79">
        <f t="shared" si="8"/>
        <v>0</v>
      </c>
      <c r="U25" s="79">
        <f t="shared" si="39"/>
        <v>0</v>
      </c>
      <c r="V25" s="80">
        <f t="shared" ca="1" si="9"/>
        <v>0.33333333329999998</v>
      </c>
      <c r="W25" s="249" t="str">
        <f t="shared" ca="1" si="10"/>
        <v/>
      </c>
      <c r="X25" s="293"/>
      <c r="Y25" s="221">
        <f t="shared" si="11"/>
        <v>0</v>
      </c>
      <c r="Z25" s="299">
        <f ca="1">IF(B25="","",INDIRECT(ADDRESS(MATCH(B25,Soll_AZ,1)+MATCH("Arbeitszeit 1 ab",Voreinstellung_Übersicht!B:B,0)-1,WEEKDAY(B25,2)+4,,,"Voreinstellung_Übersicht"),TRUE))</f>
        <v>0.33333333333333331</v>
      </c>
      <c r="AA25" s="300">
        <f t="shared" ca="1" si="40"/>
        <v>0</v>
      </c>
      <c r="AB25" s="219">
        <f t="shared" si="12"/>
        <v>0</v>
      </c>
      <c r="AC25" s="219">
        <f t="shared" si="13"/>
        <v>0</v>
      </c>
      <c r="AD25" s="219">
        <f t="shared" si="14"/>
        <v>0</v>
      </c>
      <c r="AE25" s="219">
        <f t="shared" si="15"/>
        <v>0</v>
      </c>
      <c r="AF25" s="219">
        <f t="shared" si="16"/>
        <v>0</v>
      </c>
      <c r="AG25" s="219">
        <f t="shared" si="17"/>
        <v>0</v>
      </c>
      <c r="AH25" s="219">
        <f t="shared" si="18"/>
        <v>0</v>
      </c>
      <c r="AI25" s="219">
        <f t="shared" si="19"/>
        <v>0</v>
      </c>
      <c r="AJ25" s="219">
        <f t="shared" si="20"/>
        <v>0</v>
      </c>
      <c r="AK25" s="219">
        <f t="shared" si="21"/>
        <v>0</v>
      </c>
      <c r="AL25" s="219">
        <f t="shared" si="22"/>
        <v>0</v>
      </c>
      <c r="AM25" s="219">
        <f t="shared" si="23"/>
        <v>0</v>
      </c>
      <c r="AN25" s="301">
        <f t="shared" si="24"/>
        <v>0</v>
      </c>
      <c r="AO25" s="301">
        <f t="shared" si="25"/>
        <v>0</v>
      </c>
      <c r="AP25" s="301">
        <f t="shared" si="26"/>
        <v>0</v>
      </c>
      <c r="AQ25" s="301">
        <f t="shared" si="27"/>
        <v>0</v>
      </c>
      <c r="AR25" s="301">
        <f t="shared" si="28"/>
        <v>0</v>
      </c>
      <c r="AS25" s="301">
        <f t="shared" si="29"/>
        <v>0</v>
      </c>
      <c r="AT25" s="302">
        <f t="shared" si="30"/>
        <v>0</v>
      </c>
      <c r="AU25" s="302">
        <f t="shared" si="31"/>
        <v>0</v>
      </c>
      <c r="AV25" s="81">
        <f t="shared" si="32"/>
        <v>0</v>
      </c>
      <c r="AW25" s="82">
        <f t="shared" si="33"/>
        <v>0</v>
      </c>
      <c r="AX25" s="81">
        <f t="shared" si="34"/>
        <v>0</v>
      </c>
      <c r="AY25" s="83">
        <f t="shared" si="35"/>
        <v>0</v>
      </c>
      <c r="AZ25" s="83">
        <f t="shared" si="36"/>
        <v>0</v>
      </c>
      <c r="BA25" s="82">
        <f>IF(OR(B25=Feiertage!$A$16,B25=Feiertage!$A$19),U25*Zuschläge_24_31/100,IF(AZ25&gt;0,AZ25*Feiertag_mit/100,IF(AX25&gt;0,AX25*Zuschläge_Sa/100,IF(AY25&gt;0,AY25*Zuschlag_So/100,0))))</f>
        <v>0</v>
      </c>
      <c r="BB25" s="82">
        <f>IF(AND(B25&lt;&gt;0,G25=Voreinstellung_Übersicht!$D$41),IF(EG=1,W25*Über_klein/100,IF(EG=2,W25*Über_groß/100,"Fehler")),0)</f>
        <v>0</v>
      </c>
      <c r="BC25" s="299">
        <f t="shared" ca="1" si="41"/>
        <v>0</v>
      </c>
      <c r="BD25" s="219">
        <f t="shared" ca="1" si="37"/>
        <v>1</v>
      </c>
      <c r="BE25" s="303">
        <f ca="1">IF(B25="","",INDIRECT(ADDRESS(MATCH(B25,Soll_AZ,1)+MATCH("Arbeitszeit 1 ab",Voreinstellung_Übersicht!B:B,0)-1,4,,,"Voreinstellung_Übersicht"),TRUE))</f>
        <v>1.6666666666666665</v>
      </c>
      <c r="BF25" s="1">
        <f t="shared" si="42"/>
        <v>0</v>
      </c>
    </row>
    <row r="26" spans="1:58" s="1" customFormat="1" ht="15" x14ac:dyDescent="0.3">
      <c r="A26" s="218">
        <f t="shared" si="0"/>
        <v>25</v>
      </c>
      <c r="B26" s="47">
        <f t="shared" si="38"/>
        <v>42173</v>
      </c>
      <c r="C26" s="219">
        <f t="shared" si="1"/>
        <v>1</v>
      </c>
      <c r="D26" s="220" t="str">
        <f t="shared" si="2"/>
        <v/>
      </c>
      <c r="E26" s="298" t="str">
        <f t="shared" si="3"/>
        <v/>
      </c>
      <c r="F26" s="87">
        <f t="shared" si="4"/>
        <v>42173</v>
      </c>
      <c r="G26" s="147"/>
      <c r="H26" s="74"/>
      <c r="I26" s="75"/>
      <c r="J26" s="221">
        <f t="shared" si="5"/>
        <v>0</v>
      </c>
      <c r="K26" s="76"/>
      <c r="L26" s="221">
        <f t="shared" si="43"/>
        <v>0</v>
      </c>
      <c r="M26" s="74"/>
      <c r="N26" s="75"/>
      <c r="O26" s="221">
        <f t="shared" si="6"/>
        <v>0</v>
      </c>
      <c r="P26" s="76"/>
      <c r="Q26" s="221">
        <f t="shared" si="44"/>
        <v>0</v>
      </c>
      <c r="R26" s="221">
        <f t="shared" si="45"/>
        <v>0</v>
      </c>
      <c r="S26" s="221">
        <f t="shared" si="7"/>
        <v>0</v>
      </c>
      <c r="T26" s="79">
        <f t="shared" si="8"/>
        <v>0</v>
      </c>
      <c r="U26" s="79">
        <f t="shared" si="39"/>
        <v>0</v>
      </c>
      <c r="V26" s="80">
        <f t="shared" ca="1" si="9"/>
        <v>0.33333333329999998</v>
      </c>
      <c r="W26" s="249" t="str">
        <f t="shared" ca="1" si="10"/>
        <v/>
      </c>
      <c r="X26" s="293"/>
      <c r="Y26" s="221">
        <f t="shared" si="11"/>
        <v>0</v>
      </c>
      <c r="Z26" s="299">
        <f ca="1">IF(B26="","",INDIRECT(ADDRESS(MATCH(B26,Soll_AZ,1)+MATCH("Arbeitszeit 1 ab",Voreinstellung_Übersicht!B:B,0)-1,WEEKDAY(B26,2)+4,,,"Voreinstellung_Übersicht"),TRUE))</f>
        <v>0.33333333333333331</v>
      </c>
      <c r="AA26" s="300">
        <f t="shared" ca="1" si="40"/>
        <v>0</v>
      </c>
      <c r="AB26" s="219">
        <f t="shared" si="12"/>
        <v>0</v>
      </c>
      <c r="AC26" s="219">
        <f t="shared" si="13"/>
        <v>0</v>
      </c>
      <c r="AD26" s="219">
        <f t="shared" si="14"/>
        <v>0</v>
      </c>
      <c r="AE26" s="219">
        <f t="shared" si="15"/>
        <v>0</v>
      </c>
      <c r="AF26" s="219">
        <f t="shared" si="16"/>
        <v>0</v>
      </c>
      <c r="AG26" s="219">
        <f t="shared" si="17"/>
        <v>0</v>
      </c>
      <c r="AH26" s="219">
        <f t="shared" si="18"/>
        <v>0</v>
      </c>
      <c r="AI26" s="219">
        <f t="shared" si="19"/>
        <v>0</v>
      </c>
      <c r="AJ26" s="219">
        <f t="shared" si="20"/>
        <v>0</v>
      </c>
      <c r="AK26" s="219">
        <f t="shared" si="21"/>
        <v>0</v>
      </c>
      <c r="AL26" s="219">
        <f t="shared" si="22"/>
        <v>0</v>
      </c>
      <c r="AM26" s="219">
        <f t="shared" si="23"/>
        <v>0</v>
      </c>
      <c r="AN26" s="301">
        <f t="shared" si="24"/>
        <v>0</v>
      </c>
      <c r="AO26" s="301">
        <f t="shared" si="25"/>
        <v>0</v>
      </c>
      <c r="AP26" s="301">
        <f t="shared" si="26"/>
        <v>0</v>
      </c>
      <c r="AQ26" s="301">
        <f t="shared" si="27"/>
        <v>0</v>
      </c>
      <c r="AR26" s="301">
        <f t="shared" si="28"/>
        <v>0</v>
      </c>
      <c r="AS26" s="301">
        <f t="shared" si="29"/>
        <v>0</v>
      </c>
      <c r="AT26" s="302">
        <f t="shared" si="30"/>
        <v>0</v>
      </c>
      <c r="AU26" s="302">
        <f t="shared" si="31"/>
        <v>0</v>
      </c>
      <c r="AV26" s="81">
        <f t="shared" si="32"/>
        <v>0</v>
      </c>
      <c r="AW26" s="82">
        <f t="shared" si="33"/>
        <v>0</v>
      </c>
      <c r="AX26" s="81">
        <f t="shared" si="34"/>
        <v>0</v>
      </c>
      <c r="AY26" s="83">
        <f t="shared" si="35"/>
        <v>0</v>
      </c>
      <c r="AZ26" s="83">
        <f t="shared" si="36"/>
        <v>0</v>
      </c>
      <c r="BA26" s="82">
        <f>IF(OR(B26=Feiertage!$A$16,B26=Feiertage!$A$19),U26*Zuschläge_24_31/100,IF(AZ26&gt;0,AZ26*Feiertag_mit/100,IF(AX26&gt;0,AX26*Zuschläge_Sa/100,IF(AY26&gt;0,AY26*Zuschlag_So/100,0))))</f>
        <v>0</v>
      </c>
      <c r="BB26" s="82">
        <f>IF(AND(B26&lt;&gt;0,G26=Voreinstellung_Übersicht!$D$41),IF(EG=1,W26*Über_klein/100,IF(EG=2,W26*Über_groß/100,"Fehler")),0)</f>
        <v>0</v>
      </c>
      <c r="BC26" s="299">
        <f t="shared" ca="1" si="41"/>
        <v>0</v>
      </c>
      <c r="BD26" s="219">
        <f t="shared" ca="1" si="37"/>
        <v>1</v>
      </c>
      <c r="BE26" s="303">
        <f ca="1">IF(B26="","",INDIRECT(ADDRESS(MATCH(B26,Soll_AZ,1)+MATCH("Arbeitszeit 1 ab",Voreinstellung_Übersicht!B:B,0)-1,4,,,"Voreinstellung_Übersicht"),TRUE))</f>
        <v>1.6666666666666665</v>
      </c>
      <c r="BF26" s="1">
        <f t="shared" si="42"/>
        <v>0</v>
      </c>
    </row>
    <row r="27" spans="1:58" s="1" customFormat="1" ht="15" x14ac:dyDescent="0.3">
      <c r="A27" s="218">
        <f t="shared" si="0"/>
        <v>25</v>
      </c>
      <c r="B27" s="47">
        <f t="shared" si="38"/>
        <v>42174</v>
      </c>
      <c r="C27" s="219">
        <f t="shared" si="1"/>
        <v>1</v>
      </c>
      <c r="D27" s="220" t="str">
        <f t="shared" si="2"/>
        <v/>
      </c>
      <c r="E27" s="298" t="str">
        <f t="shared" si="3"/>
        <v/>
      </c>
      <c r="F27" s="87">
        <f t="shared" si="4"/>
        <v>42174</v>
      </c>
      <c r="G27" s="147"/>
      <c r="H27" s="74"/>
      <c r="I27" s="75"/>
      <c r="J27" s="221">
        <f t="shared" si="5"/>
        <v>0</v>
      </c>
      <c r="K27" s="76"/>
      <c r="L27" s="221">
        <f t="shared" si="43"/>
        <v>0</v>
      </c>
      <c r="M27" s="74"/>
      <c r="N27" s="75"/>
      <c r="O27" s="221">
        <f t="shared" si="6"/>
        <v>0</v>
      </c>
      <c r="P27" s="76"/>
      <c r="Q27" s="221">
        <f t="shared" si="44"/>
        <v>0</v>
      </c>
      <c r="R27" s="221">
        <f t="shared" si="45"/>
        <v>0</v>
      </c>
      <c r="S27" s="221">
        <f t="shared" si="7"/>
        <v>0</v>
      </c>
      <c r="T27" s="79">
        <f t="shared" si="8"/>
        <v>0</v>
      </c>
      <c r="U27" s="79">
        <f t="shared" si="39"/>
        <v>0</v>
      </c>
      <c r="V27" s="80">
        <f t="shared" ca="1" si="9"/>
        <v>0.33333333329999998</v>
      </c>
      <c r="W27" s="249" t="str">
        <f t="shared" ca="1" si="10"/>
        <v/>
      </c>
      <c r="X27" s="293"/>
      <c r="Y27" s="221">
        <f t="shared" si="11"/>
        <v>0</v>
      </c>
      <c r="Z27" s="299">
        <f ca="1">IF(B27="","",INDIRECT(ADDRESS(MATCH(B27,Soll_AZ,1)+MATCH("Arbeitszeit 1 ab",Voreinstellung_Übersicht!B:B,0)-1,WEEKDAY(B27,2)+4,,,"Voreinstellung_Übersicht"),TRUE))</f>
        <v>0.33333333333333331</v>
      </c>
      <c r="AA27" s="300">
        <f t="shared" ca="1" si="40"/>
        <v>0</v>
      </c>
      <c r="AB27" s="219">
        <f t="shared" si="12"/>
        <v>0</v>
      </c>
      <c r="AC27" s="219">
        <f t="shared" si="13"/>
        <v>0</v>
      </c>
      <c r="AD27" s="219">
        <f t="shared" si="14"/>
        <v>0</v>
      </c>
      <c r="AE27" s="219">
        <f t="shared" si="15"/>
        <v>0</v>
      </c>
      <c r="AF27" s="219">
        <f t="shared" si="16"/>
        <v>0</v>
      </c>
      <c r="AG27" s="219">
        <f t="shared" si="17"/>
        <v>0</v>
      </c>
      <c r="AH27" s="219">
        <f t="shared" si="18"/>
        <v>0</v>
      </c>
      <c r="AI27" s="219">
        <f t="shared" si="19"/>
        <v>0</v>
      </c>
      <c r="AJ27" s="219">
        <f t="shared" si="20"/>
        <v>0</v>
      </c>
      <c r="AK27" s="219">
        <f t="shared" si="21"/>
        <v>0</v>
      </c>
      <c r="AL27" s="219">
        <f t="shared" si="22"/>
        <v>0</v>
      </c>
      <c r="AM27" s="219">
        <f t="shared" si="23"/>
        <v>0</v>
      </c>
      <c r="AN27" s="301">
        <f t="shared" si="24"/>
        <v>0</v>
      </c>
      <c r="AO27" s="301">
        <f t="shared" si="25"/>
        <v>0</v>
      </c>
      <c r="AP27" s="301">
        <f t="shared" si="26"/>
        <v>0</v>
      </c>
      <c r="AQ27" s="301">
        <f t="shared" si="27"/>
        <v>0</v>
      </c>
      <c r="AR27" s="301">
        <f t="shared" si="28"/>
        <v>0</v>
      </c>
      <c r="AS27" s="301">
        <f t="shared" si="29"/>
        <v>0</v>
      </c>
      <c r="AT27" s="302">
        <f t="shared" si="30"/>
        <v>0</v>
      </c>
      <c r="AU27" s="302">
        <f t="shared" si="31"/>
        <v>0</v>
      </c>
      <c r="AV27" s="81">
        <f t="shared" si="32"/>
        <v>0</v>
      </c>
      <c r="AW27" s="82">
        <f t="shared" si="33"/>
        <v>0</v>
      </c>
      <c r="AX27" s="81">
        <f t="shared" si="34"/>
        <v>0</v>
      </c>
      <c r="AY27" s="83">
        <f t="shared" si="35"/>
        <v>0</v>
      </c>
      <c r="AZ27" s="83">
        <f t="shared" si="36"/>
        <v>0</v>
      </c>
      <c r="BA27" s="82">
        <f>IF(OR(B27=Feiertage!$A$16,B27=Feiertage!$A$19),U27*Zuschläge_24_31/100,IF(AZ27&gt;0,AZ27*Feiertag_mit/100,IF(AX27&gt;0,AX27*Zuschläge_Sa/100,IF(AY27&gt;0,AY27*Zuschlag_So/100,0))))</f>
        <v>0</v>
      </c>
      <c r="BB27" s="82">
        <f>IF(AND(B27&lt;&gt;0,G27=Voreinstellung_Übersicht!$D$41),IF(EG=1,W27*Über_klein/100,IF(EG=2,W27*Über_groß/100,"Fehler")),0)</f>
        <v>0</v>
      </c>
      <c r="BC27" s="299">
        <f t="shared" ca="1" si="41"/>
        <v>0</v>
      </c>
      <c r="BD27" s="219">
        <f t="shared" ca="1" si="37"/>
        <v>1</v>
      </c>
      <c r="BE27" s="303">
        <f ca="1">IF(B27="","",INDIRECT(ADDRESS(MATCH(B27,Soll_AZ,1)+MATCH("Arbeitszeit 1 ab",Voreinstellung_Übersicht!B:B,0)-1,4,,,"Voreinstellung_Übersicht"),TRUE))</f>
        <v>1.6666666666666665</v>
      </c>
      <c r="BF27" s="1">
        <f t="shared" si="42"/>
        <v>0</v>
      </c>
    </row>
    <row r="28" spans="1:58" s="1" customFormat="1" ht="15" x14ac:dyDescent="0.3">
      <c r="A28" s="218">
        <f t="shared" si="0"/>
        <v>25</v>
      </c>
      <c r="B28" s="47">
        <f t="shared" si="38"/>
        <v>42175</v>
      </c>
      <c r="C28" s="219">
        <f t="shared" si="1"/>
        <v>1</v>
      </c>
      <c r="D28" s="220" t="str">
        <f t="shared" si="2"/>
        <v/>
      </c>
      <c r="E28" s="298" t="str">
        <f t="shared" si="3"/>
        <v/>
      </c>
      <c r="F28" s="87">
        <f t="shared" si="4"/>
        <v>42175</v>
      </c>
      <c r="G28" s="147"/>
      <c r="H28" s="74"/>
      <c r="I28" s="75"/>
      <c r="J28" s="221">
        <f t="shared" si="5"/>
        <v>0</v>
      </c>
      <c r="K28" s="76"/>
      <c r="L28" s="221">
        <f t="shared" si="43"/>
        <v>0</v>
      </c>
      <c r="M28" s="74"/>
      <c r="N28" s="75"/>
      <c r="O28" s="221">
        <f t="shared" si="6"/>
        <v>0</v>
      </c>
      <c r="P28" s="76"/>
      <c r="Q28" s="221">
        <f t="shared" si="44"/>
        <v>0</v>
      </c>
      <c r="R28" s="221">
        <f t="shared" si="45"/>
        <v>0</v>
      </c>
      <c r="S28" s="221">
        <f t="shared" si="7"/>
        <v>0</v>
      </c>
      <c r="T28" s="79">
        <f t="shared" si="8"/>
        <v>0</v>
      </c>
      <c r="U28" s="79">
        <f t="shared" si="39"/>
        <v>0</v>
      </c>
      <c r="V28" s="80">
        <f t="shared" ca="1" si="9"/>
        <v>0.33333333329999998</v>
      </c>
      <c r="W28" s="249" t="str">
        <f t="shared" ca="1" si="10"/>
        <v/>
      </c>
      <c r="X28" s="293"/>
      <c r="Y28" s="221">
        <f t="shared" si="11"/>
        <v>0</v>
      </c>
      <c r="Z28" s="299">
        <f ca="1">IF(B28="","",INDIRECT(ADDRESS(MATCH(B28,Soll_AZ,1)+MATCH("Arbeitszeit 1 ab",Voreinstellung_Übersicht!B:B,0)-1,WEEKDAY(B28,2)+4,,,"Voreinstellung_Übersicht"),TRUE))</f>
        <v>0.33333333333333331</v>
      </c>
      <c r="AA28" s="300">
        <f t="shared" ca="1" si="40"/>
        <v>0</v>
      </c>
      <c r="AB28" s="219">
        <f t="shared" si="12"/>
        <v>0</v>
      </c>
      <c r="AC28" s="219">
        <f t="shared" si="13"/>
        <v>0</v>
      </c>
      <c r="AD28" s="219">
        <f t="shared" si="14"/>
        <v>0</v>
      </c>
      <c r="AE28" s="219">
        <f t="shared" si="15"/>
        <v>0</v>
      </c>
      <c r="AF28" s="219">
        <f t="shared" si="16"/>
        <v>0</v>
      </c>
      <c r="AG28" s="219">
        <f t="shared" si="17"/>
        <v>0</v>
      </c>
      <c r="AH28" s="219">
        <f t="shared" si="18"/>
        <v>0</v>
      </c>
      <c r="AI28" s="219">
        <f t="shared" si="19"/>
        <v>0</v>
      </c>
      <c r="AJ28" s="219">
        <f t="shared" si="20"/>
        <v>0</v>
      </c>
      <c r="AK28" s="219">
        <f t="shared" si="21"/>
        <v>0</v>
      </c>
      <c r="AL28" s="219">
        <f t="shared" si="22"/>
        <v>0</v>
      </c>
      <c r="AM28" s="219">
        <f t="shared" si="23"/>
        <v>0</v>
      </c>
      <c r="AN28" s="301">
        <f t="shared" si="24"/>
        <v>0</v>
      </c>
      <c r="AO28" s="301">
        <f t="shared" si="25"/>
        <v>0</v>
      </c>
      <c r="AP28" s="301">
        <f t="shared" si="26"/>
        <v>0</v>
      </c>
      <c r="AQ28" s="301">
        <f t="shared" si="27"/>
        <v>0</v>
      </c>
      <c r="AR28" s="301">
        <f t="shared" si="28"/>
        <v>0</v>
      </c>
      <c r="AS28" s="301">
        <f t="shared" si="29"/>
        <v>0</v>
      </c>
      <c r="AT28" s="302">
        <f t="shared" si="30"/>
        <v>0</v>
      </c>
      <c r="AU28" s="302">
        <f t="shared" si="31"/>
        <v>0</v>
      </c>
      <c r="AV28" s="81">
        <f t="shared" si="32"/>
        <v>0</v>
      </c>
      <c r="AW28" s="82">
        <f t="shared" si="33"/>
        <v>0</v>
      </c>
      <c r="AX28" s="81">
        <f t="shared" si="34"/>
        <v>0</v>
      </c>
      <c r="AY28" s="83">
        <f t="shared" si="35"/>
        <v>0</v>
      </c>
      <c r="AZ28" s="83">
        <f t="shared" si="36"/>
        <v>0</v>
      </c>
      <c r="BA28" s="82">
        <f>IF(OR(B28=Feiertage!$A$16,B28=Feiertage!$A$19),U28*Zuschläge_24_31/100,IF(AZ28&gt;0,AZ28*Feiertag_mit/100,IF(AX28&gt;0,AX28*Zuschläge_Sa/100,IF(AY28&gt;0,AY28*Zuschlag_So/100,0))))</f>
        <v>0</v>
      </c>
      <c r="BB28" s="82">
        <f>IF(AND(B28&lt;&gt;0,G28=Voreinstellung_Übersicht!$D$41),IF(EG=1,W28*Über_klein/100,IF(EG=2,W28*Über_groß/100,"Fehler")),0)</f>
        <v>0</v>
      </c>
      <c r="BC28" s="299">
        <f t="shared" ca="1" si="41"/>
        <v>0</v>
      </c>
      <c r="BD28" s="219">
        <f t="shared" ca="1" si="37"/>
        <v>1</v>
      </c>
      <c r="BE28" s="303">
        <f ca="1">IF(B28="","",INDIRECT(ADDRESS(MATCH(B28,Soll_AZ,1)+MATCH("Arbeitszeit 1 ab",Voreinstellung_Übersicht!B:B,0)-1,4,,,"Voreinstellung_Übersicht"),TRUE))</f>
        <v>1.6666666666666665</v>
      </c>
      <c r="BF28" s="1">
        <f t="shared" si="42"/>
        <v>0</v>
      </c>
    </row>
    <row r="29" spans="1:58" s="1" customFormat="1" ht="15" x14ac:dyDescent="0.3">
      <c r="A29" s="218">
        <f t="shared" si="0"/>
        <v>25</v>
      </c>
      <c r="B29" s="47">
        <f t="shared" si="38"/>
        <v>42176</v>
      </c>
      <c r="C29" s="219">
        <f t="shared" si="1"/>
        <v>0</v>
      </c>
      <c r="D29" s="220" t="str">
        <f t="shared" si="2"/>
        <v/>
      </c>
      <c r="E29" s="298" t="str">
        <f t="shared" si="3"/>
        <v/>
      </c>
      <c r="F29" s="87">
        <f t="shared" si="4"/>
        <v>42176</v>
      </c>
      <c r="G29" s="147"/>
      <c r="H29" s="74"/>
      <c r="I29" s="75"/>
      <c r="J29" s="221">
        <f t="shared" si="5"/>
        <v>0</v>
      </c>
      <c r="K29" s="76"/>
      <c r="L29" s="221">
        <f t="shared" si="43"/>
        <v>0</v>
      </c>
      <c r="M29" s="74"/>
      <c r="N29" s="75"/>
      <c r="O29" s="221">
        <f t="shared" si="6"/>
        <v>0</v>
      </c>
      <c r="P29" s="76"/>
      <c r="Q29" s="221">
        <f t="shared" si="44"/>
        <v>0</v>
      </c>
      <c r="R29" s="221">
        <f t="shared" si="45"/>
        <v>0</v>
      </c>
      <c r="S29" s="221">
        <f t="shared" si="7"/>
        <v>0</v>
      </c>
      <c r="T29" s="79">
        <f t="shared" si="8"/>
        <v>0</v>
      </c>
      <c r="U29" s="79">
        <f t="shared" si="39"/>
        <v>0</v>
      </c>
      <c r="V29" s="80">
        <f t="shared" ca="1" si="9"/>
        <v>0</v>
      </c>
      <c r="W29" s="249" t="str">
        <f t="shared" ca="1" si="10"/>
        <v/>
      </c>
      <c r="X29" s="293"/>
      <c r="Y29" s="221">
        <f t="shared" si="11"/>
        <v>0</v>
      </c>
      <c r="Z29" s="299">
        <f ca="1">IF(B29="","",INDIRECT(ADDRESS(MATCH(B29,Soll_AZ,1)+MATCH("Arbeitszeit 1 ab",Voreinstellung_Übersicht!B:B,0)-1,WEEKDAY(B29,2)+4,,,"Voreinstellung_Übersicht"),TRUE))</f>
        <v>0</v>
      </c>
      <c r="AA29" s="300">
        <f t="shared" ca="1" si="40"/>
        <v>0</v>
      </c>
      <c r="AB29" s="219">
        <f t="shared" si="12"/>
        <v>0</v>
      </c>
      <c r="AC29" s="219">
        <f t="shared" si="13"/>
        <v>0</v>
      </c>
      <c r="AD29" s="219">
        <f t="shared" si="14"/>
        <v>0</v>
      </c>
      <c r="AE29" s="219">
        <f t="shared" si="15"/>
        <v>0</v>
      </c>
      <c r="AF29" s="219">
        <f t="shared" si="16"/>
        <v>0</v>
      </c>
      <c r="AG29" s="219">
        <f t="shared" si="17"/>
        <v>0</v>
      </c>
      <c r="AH29" s="219">
        <f t="shared" si="18"/>
        <v>0</v>
      </c>
      <c r="AI29" s="219">
        <f t="shared" si="19"/>
        <v>0</v>
      </c>
      <c r="AJ29" s="219">
        <f t="shared" si="20"/>
        <v>0</v>
      </c>
      <c r="AK29" s="219">
        <f t="shared" si="21"/>
        <v>0</v>
      </c>
      <c r="AL29" s="219">
        <f t="shared" si="22"/>
        <v>0</v>
      </c>
      <c r="AM29" s="219">
        <f t="shared" si="23"/>
        <v>0</v>
      </c>
      <c r="AN29" s="301">
        <f t="shared" si="24"/>
        <v>0</v>
      </c>
      <c r="AO29" s="301">
        <f t="shared" si="25"/>
        <v>0</v>
      </c>
      <c r="AP29" s="301">
        <f t="shared" si="26"/>
        <v>0</v>
      </c>
      <c r="AQ29" s="301">
        <f t="shared" si="27"/>
        <v>0</v>
      </c>
      <c r="AR29" s="301">
        <f t="shared" si="28"/>
        <v>0</v>
      </c>
      <c r="AS29" s="301">
        <f t="shared" si="29"/>
        <v>0</v>
      </c>
      <c r="AT29" s="302">
        <f t="shared" si="30"/>
        <v>0</v>
      </c>
      <c r="AU29" s="302">
        <f t="shared" si="31"/>
        <v>0</v>
      </c>
      <c r="AV29" s="81">
        <f t="shared" si="32"/>
        <v>0</v>
      </c>
      <c r="AW29" s="82">
        <f t="shared" si="33"/>
        <v>0</v>
      </c>
      <c r="AX29" s="81">
        <f t="shared" si="34"/>
        <v>0</v>
      </c>
      <c r="AY29" s="83">
        <f t="shared" si="35"/>
        <v>0</v>
      </c>
      <c r="AZ29" s="83">
        <f t="shared" si="36"/>
        <v>0</v>
      </c>
      <c r="BA29" s="82">
        <f>IF(OR(B29=Feiertage!$A$16,B29=Feiertage!$A$19),U29*Zuschläge_24_31/100,IF(AZ29&gt;0,AZ29*Feiertag_mit/100,IF(AX29&gt;0,AX29*Zuschläge_Sa/100,IF(AY29&gt;0,AY29*Zuschlag_So/100,0))))</f>
        <v>0</v>
      </c>
      <c r="BB29" s="82">
        <f>IF(AND(B29&lt;&gt;0,G29=Voreinstellung_Übersicht!$D$41),IF(EG=1,W29*Über_klein/100,IF(EG=2,W29*Über_groß/100,"Fehler")),0)</f>
        <v>0</v>
      </c>
      <c r="BC29" s="299">
        <f t="shared" ca="1" si="41"/>
        <v>0</v>
      </c>
      <c r="BD29" s="219">
        <f t="shared" ca="1" si="37"/>
        <v>1</v>
      </c>
      <c r="BE29" s="303">
        <f ca="1">IF(B29="","",INDIRECT(ADDRESS(MATCH(B29,Soll_AZ,1)+MATCH("Arbeitszeit 1 ab",Voreinstellung_Übersicht!B:B,0)-1,4,,,"Voreinstellung_Übersicht"),TRUE))</f>
        <v>1.6666666666666665</v>
      </c>
      <c r="BF29" s="1">
        <f t="shared" si="42"/>
        <v>0</v>
      </c>
    </row>
    <row r="30" spans="1:58" s="1" customFormat="1" ht="15" x14ac:dyDescent="0.3">
      <c r="A30" s="218">
        <f t="shared" si="0"/>
        <v>26</v>
      </c>
      <c r="B30" s="47">
        <f t="shared" si="38"/>
        <v>42177</v>
      </c>
      <c r="C30" s="219">
        <f t="shared" si="1"/>
        <v>0</v>
      </c>
      <c r="D30" s="220" t="str">
        <f t="shared" si="2"/>
        <v/>
      </c>
      <c r="E30" s="298" t="str">
        <f t="shared" si="3"/>
        <v/>
      </c>
      <c r="F30" s="87">
        <f t="shared" si="4"/>
        <v>42177</v>
      </c>
      <c r="G30" s="147"/>
      <c r="H30" s="74"/>
      <c r="I30" s="75"/>
      <c r="J30" s="221">
        <f t="shared" si="5"/>
        <v>0</v>
      </c>
      <c r="K30" s="76"/>
      <c r="L30" s="221">
        <f t="shared" si="43"/>
        <v>0</v>
      </c>
      <c r="M30" s="74"/>
      <c r="N30" s="75"/>
      <c r="O30" s="221">
        <f t="shared" si="6"/>
        <v>0</v>
      </c>
      <c r="P30" s="76"/>
      <c r="Q30" s="221">
        <f t="shared" si="44"/>
        <v>0</v>
      </c>
      <c r="R30" s="221">
        <f t="shared" si="45"/>
        <v>0</v>
      </c>
      <c r="S30" s="221">
        <f t="shared" si="7"/>
        <v>0</v>
      </c>
      <c r="T30" s="79">
        <f t="shared" si="8"/>
        <v>0</v>
      </c>
      <c r="U30" s="79">
        <f t="shared" si="39"/>
        <v>0</v>
      </c>
      <c r="V30" s="80">
        <f t="shared" ca="1" si="9"/>
        <v>0</v>
      </c>
      <c r="W30" s="249" t="str">
        <f t="shared" ca="1" si="10"/>
        <v/>
      </c>
      <c r="X30" s="293"/>
      <c r="Y30" s="221">
        <f t="shared" si="11"/>
        <v>0</v>
      </c>
      <c r="Z30" s="299">
        <f ca="1">IF(B30="","",INDIRECT(ADDRESS(MATCH(B30,Soll_AZ,1)+MATCH("Arbeitszeit 1 ab",Voreinstellung_Übersicht!B:B,0)-1,WEEKDAY(B30,2)+4,,,"Voreinstellung_Übersicht"),TRUE))</f>
        <v>0</v>
      </c>
      <c r="AA30" s="300">
        <f t="shared" ca="1" si="40"/>
        <v>0</v>
      </c>
      <c r="AB30" s="219">
        <f t="shared" si="12"/>
        <v>0</v>
      </c>
      <c r="AC30" s="219">
        <f t="shared" si="13"/>
        <v>0</v>
      </c>
      <c r="AD30" s="219">
        <f t="shared" si="14"/>
        <v>0</v>
      </c>
      <c r="AE30" s="219">
        <f t="shared" si="15"/>
        <v>0</v>
      </c>
      <c r="AF30" s="219">
        <f t="shared" si="16"/>
        <v>0</v>
      </c>
      <c r="AG30" s="219">
        <f t="shared" si="17"/>
        <v>0</v>
      </c>
      <c r="AH30" s="219">
        <f t="shared" si="18"/>
        <v>0</v>
      </c>
      <c r="AI30" s="219">
        <f t="shared" si="19"/>
        <v>0</v>
      </c>
      <c r="AJ30" s="219">
        <f t="shared" si="20"/>
        <v>0</v>
      </c>
      <c r="AK30" s="219">
        <f t="shared" si="21"/>
        <v>0</v>
      </c>
      <c r="AL30" s="219">
        <f t="shared" si="22"/>
        <v>0</v>
      </c>
      <c r="AM30" s="219">
        <f t="shared" si="23"/>
        <v>0</v>
      </c>
      <c r="AN30" s="301">
        <f t="shared" si="24"/>
        <v>0</v>
      </c>
      <c r="AO30" s="301">
        <f t="shared" si="25"/>
        <v>0</v>
      </c>
      <c r="AP30" s="301">
        <f t="shared" si="26"/>
        <v>0</v>
      </c>
      <c r="AQ30" s="301">
        <f t="shared" si="27"/>
        <v>0</v>
      </c>
      <c r="AR30" s="301">
        <f t="shared" si="28"/>
        <v>0</v>
      </c>
      <c r="AS30" s="301">
        <f t="shared" si="29"/>
        <v>0</v>
      </c>
      <c r="AT30" s="302">
        <f t="shared" si="30"/>
        <v>0</v>
      </c>
      <c r="AU30" s="302">
        <f t="shared" si="31"/>
        <v>0</v>
      </c>
      <c r="AV30" s="81">
        <f t="shared" si="32"/>
        <v>0</v>
      </c>
      <c r="AW30" s="82">
        <f t="shared" si="33"/>
        <v>0</v>
      </c>
      <c r="AX30" s="81">
        <f t="shared" si="34"/>
        <v>0</v>
      </c>
      <c r="AY30" s="83">
        <f t="shared" si="35"/>
        <v>0</v>
      </c>
      <c r="AZ30" s="83">
        <f t="shared" si="36"/>
        <v>0</v>
      </c>
      <c r="BA30" s="82">
        <f>IF(OR(B30=Feiertage!$A$16,B30=Feiertage!$A$19),U30*Zuschläge_24_31/100,IF(AZ30&gt;0,AZ30*Feiertag_mit/100,IF(AX30&gt;0,AX30*Zuschläge_Sa/100,IF(AY30&gt;0,AY30*Zuschlag_So/100,0))))</f>
        <v>0</v>
      </c>
      <c r="BB30" s="82">
        <f>IF(AND(B30&lt;&gt;0,G30=Voreinstellung_Übersicht!$D$41),IF(EG=1,W30*Über_klein/100,IF(EG=2,W30*Über_groß/100,"Fehler")),0)</f>
        <v>0</v>
      </c>
      <c r="BC30" s="299">
        <f t="shared" ca="1" si="41"/>
        <v>0</v>
      </c>
      <c r="BD30" s="219">
        <f t="shared" ca="1" si="37"/>
        <v>1</v>
      </c>
      <c r="BE30" s="303">
        <f ca="1">IF(B30="","",INDIRECT(ADDRESS(MATCH(B30,Soll_AZ,1)+MATCH("Arbeitszeit 1 ab",Voreinstellung_Übersicht!B:B,0)-1,4,,,"Voreinstellung_Übersicht"),TRUE))</f>
        <v>1.6666666666666665</v>
      </c>
      <c r="BF30" s="1">
        <f t="shared" si="42"/>
        <v>0</v>
      </c>
    </row>
    <row r="31" spans="1:58" s="1" customFormat="1" ht="15" x14ac:dyDescent="0.3">
      <c r="A31" s="218">
        <f t="shared" si="0"/>
        <v>26</v>
      </c>
      <c r="B31" s="47">
        <f t="shared" si="38"/>
        <v>42178</v>
      </c>
      <c r="C31" s="219">
        <f t="shared" si="1"/>
        <v>1</v>
      </c>
      <c r="D31" s="220" t="str">
        <f t="shared" si="2"/>
        <v/>
      </c>
      <c r="E31" s="298" t="str">
        <f t="shared" si="3"/>
        <v/>
      </c>
      <c r="F31" s="87">
        <f t="shared" si="4"/>
        <v>42178</v>
      </c>
      <c r="G31" s="147"/>
      <c r="H31" s="74"/>
      <c r="I31" s="75"/>
      <c r="J31" s="221">
        <f t="shared" si="5"/>
        <v>0</v>
      </c>
      <c r="K31" s="76"/>
      <c r="L31" s="221">
        <f t="shared" si="43"/>
        <v>0</v>
      </c>
      <c r="M31" s="74"/>
      <c r="N31" s="75"/>
      <c r="O31" s="221">
        <f t="shared" si="6"/>
        <v>0</v>
      </c>
      <c r="P31" s="76"/>
      <c r="Q31" s="221">
        <f t="shared" si="44"/>
        <v>0</v>
      </c>
      <c r="R31" s="221">
        <f t="shared" si="45"/>
        <v>0</v>
      </c>
      <c r="S31" s="221">
        <f t="shared" si="7"/>
        <v>0</v>
      </c>
      <c r="T31" s="79">
        <f t="shared" si="8"/>
        <v>0</v>
      </c>
      <c r="U31" s="79">
        <f t="shared" si="39"/>
        <v>0</v>
      </c>
      <c r="V31" s="80">
        <f t="shared" ca="1" si="9"/>
        <v>0.33333333329999998</v>
      </c>
      <c r="W31" s="249" t="str">
        <f t="shared" ca="1" si="10"/>
        <v/>
      </c>
      <c r="X31" s="293"/>
      <c r="Y31" s="221">
        <f t="shared" si="11"/>
        <v>0</v>
      </c>
      <c r="Z31" s="299">
        <f ca="1">IF(B31="","",INDIRECT(ADDRESS(MATCH(B31,Soll_AZ,1)+MATCH("Arbeitszeit 1 ab",Voreinstellung_Übersicht!B:B,0)-1,WEEKDAY(B31,2)+4,,,"Voreinstellung_Übersicht"),TRUE))</f>
        <v>0.33333333333333331</v>
      </c>
      <c r="AA31" s="300">
        <f t="shared" ca="1" si="40"/>
        <v>0</v>
      </c>
      <c r="AB31" s="219">
        <f t="shared" si="12"/>
        <v>0</v>
      </c>
      <c r="AC31" s="219">
        <f t="shared" si="13"/>
        <v>0</v>
      </c>
      <c r="AD31" s="219">
        <f t="shared" si="14"/>
        <v>0</v>
      </c>
      <c r="AE31" s="219">
        <f t="shared" si="15"/>
        <v>0</v>
      </c>
      <c r="AF31" s="219">
        <f t="shared" si="16"/>
        <v>0</v>
      </c>
      <c r="AG31" s="219">
        <f t="shared" si="17"/>
        <v>0</v>
      </c>
      <c r="AH31" s="219">
        <f t="shared" si="18"/>
        <v>0</v>
      </c>
      <c r="AI31" s="219">
        <f t="shared" si="19"/>
        <v>0</v>
      </c>
      <c r="AJ31" s="219">
        <f t="shared" si="20"/>
        <v>0</v>
      </c>
      <c r="AK31" s="219">
        <f t="shared" si="21"/>
        <v>0</v>
      </c>
      <c r="AL31" s="219">
        <f t="shared" si="22"/>
        <v>0</v>
      </c>
      <c r="AM31" s="219">
        <f t="shared" si="23"/>
        <v>0</v>
      </c>
      <c r="AN31" s="301">
        <f t="shared" si="24"/>
        <v>0</v>
      </c>
      <c r="AO31" s="301">
        <f t="shared" si="25"/>
        <v>0</v>
      </c>
      <c r="AP31" s="301">
        <f t="shared" si="26"/>
        <v>0</v>
      </c>
      <c r="AQ31" s="301">
        <f t="shared" si="27"/>
        <v>0</v>
      </c>
      <c r="AR31" s="301">
        <f t="shared" si="28"/>
        <v>0</v>
      </c>
      <c r="AS31" s="301">
        <f t="shared" si="29"/>
        <v>0</v>
      </c>
      <c r="AT31" s="302">
        <f t="shared" si="30"/>
        <v>0</v>
      </c>
      <c r="AU31" s="302">
        <f t="shared" si="31"/>
        <v>0</v>
      </c>
      <c r="AV31" s="81">
        <f t="shared" si="32"/>
        <v>0</v>
      </c>
      <c r="AW31" s="82">
        <f t="shared" si="33"/>
        <v>0</v>
      </c>
      <c r="AX31" s="81">
        <f t="shared" si="34"/>
        <v>0</v>
      </c>
      <c r="AY31" s="83">
        <f t="shared" si="35"/>
        <v>0</v>
      </c>
      <c r="AZ31" s="83">
        <f t="shared" si="36"/>
        <v>0</v>
      </c>
      <c r="BA31" s="82">
        <f>IF(OR(B31=Feiertage!$A$16,B31=Feiertage!$A$19),U31*Zuschläge_24_31/100,IF(AZ31&gt;0,AZ31*Feiertag_mit/100,IF(AX31&gt;0,AX31*Zuschläge_Sa/100,IF(AY31&gt;0,AY31*Zuschlag_So/100,0))))</f>
        <v>0</v>
      </c>
      <c r="BB31" s="82">
        <f>IF(AND(B31&lt;&gt;0,G31=Voreinstellung_Übersicht!$D$41),IF(EG=1,W31*Über_klein/100,IF(EG=2,W31*Über_groß/100,"Fehler")),0)</f>
        <v>0</v>
      </c>
      <c r="BC31" s="299">
        <f t="shared" ca="1" si="41"/>
        <v>0</v>
      </c>
      <c r="BD31" s="219">
        <f t="shared" ca="1" si="37"/>
        <v>1</v>
      </c>
      <c r="BE31" s="303">
        <f ca="1">IF(B31="","",INDIRECT(ADDRESS(MATCH(B31,Soll_AZ,1)+MATCH("Arbeitszeit 1 ab",Voreinstellung_Übersicht!B:B,0)-1,4,,,"Voreinstellung_Übersicht"),TRUE))</f>
        <v>1.6666666666666665</v>
      </c>
      <c r="BF31" s="1">
        <f t="shared" si="42"/>
        <v>0</v>
      </c>
    </row>
    <row r="32" spans="1:58" s="1" customFormat="1" ht="15" x14ac:dyDescent="0.3">
      <c r="A32" s="218">
        <f t="shared" si="0"/>
        <v>26</v>
      </c>
      <c r="B32" s="47">
        <f t="shared" si="38"/>
        <v>42179</v>
      </c>
      <c r="C32" s="219">
        <f t="shared" si="1"/>
        <v>1</v>
      </c>
      <c r="D32" s="220" t="str">
        <f t="shared" si="2"/>
        <v/>
      </c>
      <c r="E32" s="298" t="str">
        <f t="shared" si="3"/>
        <v/>
      </c>
      <c r="F32" s="87">
        <f t="shared" si="4"/>
        <v>42179</v>
      </c>
      <c r="G32" s="147"/>
      <c r="H32" s="74"/>
      <c r="I32" s="75"/>
      <c r="J32" s="221">
        <f t="shared" si="5"/>
        <v>0</v>
      </c>
      <c r="K32" s="76"/>
      <c r="L32" s="221">
        <f t="shared" si="43"/>
        <v>0</v>
      </c>
      <c r="M32" s="74"/>
      <c r="N32" s="75"/>
      <c r="O32" s="221">
        <f t="shared" si="6"/>
        <v>0</v>
      </c>
      <c r="P32" s="76"/>
      <c r="Q32" s="221">
        <f t="shared" si="44"/>
        <v>0</v>
      </c>
      <c r="R32" s="221">
        <f t="shared" si="45"/>
        <v>0</v>
      </c>
      <c r="S32" s="221">
        <f t="shared" si="7"/>
        <v>0</v>
      </c>
      <c r="T32" s="79">
        <f t="shared" si="8"/>
        <v>0</v>
      </c>
      <c r="U32" s="79">
        <f t="shared" si="39"/>
        <v>0</v>
      </c>
      <c r="V32" s="80">
        <f t="shared" ca="1" si="9"/>
        <v>0.33333333329999998</v>
      </c>
      <c r="W32" s="249" t="str">
        <f t="shared" ca="1" si="10"/>
        <v/>
      </c>
      <c r="X32" s="293"/>
      <c r="Y32" s="221">
        <f t="shared" si="11"/>
        <v>0</v>
      </c>
      <c r="Z32" s="299">
        <f ca="1">IF(B32="","",INDIRECT(ADDRESS(MATCH(B32,Soll_AZ,1)+MATCH("Arbeitszeit 1 ab",Voreinstellung_Übersicht!B:B,0)-1,WEEKDAY(B32,2)+4,,,"Voreinstellung_Übersicht"),TRUE))</f>
        <v>0.33333333333333331</v>
      </c>
      <c r="AA32" s="300">
        <f t="shared" ca="1" si="40"/>
        <v>0</v>
      </c>
      <c r="AB32" s="219">
        <f t="shared" si="12"/>
        <v>0</v>
      </c>
      <c r="AC32" s="219">
        <f t="shared" si="13"/>
        <v>0</v>
      </c>
      <c r="AD32" s="219">
        <f t="shared" si="14"/>
        <v>0</v>
      </c>
      <c r="AE32" s="219">
        <f t="shared" si="15"/>
        <v>0</v>
      </c>
      <c r="AF32" s="219">
        <f t="shared" si="16"/>
        <v>0</v>
      </c>
      <c r="AG32" s="219">
        <f t="shared" si="17"/>
        <v>0</v>
      </c>
      <c r="AH32" s="219">
        <f t="shared" si="18"/>
        <v>0</v>
      </c>
      <c r="AI32" s="219">
        <f t="shared" si="19"/>
        <v>0</v>
      </c>
      <c r="AJ32" s="219">
        <f t="shared" si="20"/>
        <v>0</v>
      </c>
      <c r="AK32" s="219">
        <f t="shared" si="21"/>
        <v>0</v>
      </c>
      <c r="AL32" s="219">
        <f t="shared" si="22"/>
        <v>0</v>
      </c>
      <c r="AM32" s="219">
        <f t="shared" si="23"/>
        <v>0</v>
      </c>
      <c r="AN32" s="301">
        <f t="shared" si="24"/>
        <v>0</v>
      </c>
      <c r="AO32" s="301">
        <f t="shared" si="25"/>
        <v>0</v>
      </c>
      <c r="AP32" s="301">
        <f t="shared" si="26"/>
        <v>0</v>
      </c>
      <c r="AQ32" s="301">
        <f t="shared" si="27"/>
        <v>0</v>
      </c>
      <c r="AR32" s="301">
        <f t="shared" si="28"/>
        <v>0</v>
      </c>
      <c r="AS32" s="301">
        <f t="shared" si="29"/>
        <v>0</v>
      </c>
      <c r="AT32" s="302">
        <f t="shared" si="30"/>
        <v>0</v>
      </c>
      <c r="AU32" s="302">
        <f t="shared" si="31"/>
        <v>0</v>
      </c>
      <c r="AV32" s="81">
        <f t="shared" si="32"/>
        <v>0</v>
      </c>
      <c r="AW32" s="82">
        <f t="shared" si="33"/>
        <v>0</v>
      </c>
      <c r="AX32" s="81">
        <f t="shared" si="34"/>
        <v>0</v>
      </c>
      <c r="AY32" s="83">
        <f t="shared" si="35"/>
        <v>0</v>
      </c>
      <c r="AZ32" s="83">
        <f t="shared" si="36"/>
        <v>0</v>
      </c>
      <c r="BA32" s="82">
        <f>IF(OR(B32=Feiertage!$A$16,B32=Feiertage!$A$19),U32*Zuschläge_24_31/100,IF(AZ32&gt;0,AZ32*Feiertag_mit/100,IF(AX32&gt;0,AX32*Zuschläge_Sa/100,IF(AY32&gt;0,AY32*Zuschlag_So/100,0))))</f>
        <v>0</v>
      </c>
      <c r="BB32" s="82">
        <f>IF(AND(B32&lt;&gt;0,G32=Voreinstellung_Übersicht!$D$41),IF(EG=1,W32*Über_klein/100,IF(EG=2,W32*Über_groß/100,"Fehler")),0)</f>
        <v>0</v>
      </c>
      <c r="BC32" s="299">
        <f t="shared" ca="1" si="41"/>
        <v>0</v>
      </c>
      <c r="BD32" s="219">
        <f t="shared" ca="1" si="37"/>
        <v>1</v>
      </c>
      <c r="BE32" s="303">
        <f ca="1">IF(B32="","",INDIRECT(ADDRESS(MATCH(B32,Soll_AZ,1)+MATCH("Arbeitszeit 1 ab",Voreinstellung_Übersicht!B:B,0)-1,4,,,"Voreinstellung_Übersicht"),TRUE))</f>
        <v>1.6666666666666665</v>
      </c>
      <c r="BF32" s="1">
        <f t="shared" si="42"/>
        <v>0</v>
      </c>
    </row>
    <row r="33" spans="1:104" s="1" customFormat="1" ht="15" x14ac:dyDescent="0.3">
      <c r="A33" s="218">
        <f t="shared" si="0"/>
        <v>26</v>
      </c>
      <c r="B33" s="47">
        <f t="shared" si="38"/>
        <v>42180</v>
      </c>
      <c r="C33" s="219">
        <f t="shared" si="1"/>
        <v>1</v>
      </c>
      <c r="D33" s="220" t="str">
        <f t="shared" si="2"/>
        <v/>
      </c>
      <c r="E33" s="298" t="str">
        <f t="shared" si="3"/>
        <v/>
      </c>
      <c r="F33" s="87">
        <f t="shared" si="4"/>
        <v>42180</v>
      </c>
      <c r="G33" s="147"/>
      <c r="H33" s="74"/>
      <c r="I33" s="75"/>
      <c r="J33" s="221">
        <f t="shared" si="5"/>
        <v>0</v>
      </c>
      <c r="K33" s="76"/>
      <c r="L33" s="221">
        <f t="shared" si="43"/>
        <v>0</v>
      </c>
      <c r="M33" s="74"/>
      <c r="N33" s="75"/>
      <c r="O33" s="221">
        <f t="shared" si="6"/>
        <v>0</v>
      </c>
      <c r="P33" s="76"/>
      <c r="Q33" s="221">
        <f t="shared" si="44"/>
        <v>0</v>
      </c>
      <c r="R33" s="221">
        <f t="shared" si="45"/>
        <v>0</v>
      </c>
      <c r="S33" s="221">
        <f t="shared" si="7"/>
        <v>0</v>
      </c>
      <c r="T33" s="79">
        <f t="shared" si="8"/>
        <v>0</v>
      </c>
      <c r="U33" s="79">
        <f t="shared" si="39"/>
        <v>0</v>
      </c>
      <c r="V33" s="80">
        <f t="shared" ca="1" si="9"/>
        <v>0.33333333329999998</v>
      </c>
      <c r="W33" s="249" t="str">
        <f t="shared" ca="1" si="10"/>
        <v/>
      </c>
      <c r="X33" s="293"/>
      <c r="Y33" s="221">
        <f t="shared" si="11"/>
        <v>0</v>
      </c>
      <c r="Z33" s="299">
        <f ca="1">IF(B33="","",INDIRECT(ADDRESS(MATCH(B33,Soll_AZ,1)+MATCH("Arbeitszeit 1 ab",Voreinstellung_Übersicht!B:B,0)-1,WEEKDAY(B33,2)+4,,,"Voreinstellung_Übersicht"),TRUE))</f>
        <v>0.33333333333333331</v>
      </c>
      <c r="AA33" s="300">
        <f t="shared" ca="1" si="40"/>
        <v>0</v>
      </c>
      <c r="AB33" s="219">
        <f t="shared" si="12"/>
        <v>0</v>
      </c>
      <c r="AC33" s="219">
        <f t="shared" si="13"/>
        <v>0</v>
      </c>
      <c r="AD33" s="219">
        <f t="shared" si="14"/>
        <v>0</v>
      </c>
      <c r="AE33" s="219">
        <f t="shared" si="15"/>
        <v>0</v>
      </c>
      <c r="AF33" s="219">
        <f t="shared" si="16"/>
        <v>0</v>
      </c>
      <c r="AG33" s="219">
        <f t="shared" si="17"/>
        <v>0</v>
      </c>
      <c r="AH33" s="219">
        <f t="shared" si="18"/>
        <v>0</v>
      </c>
      <c r="AI33" s="219">
        <f t="shared" si="19"/>
        <v>0</v>
      </c>
      <c r="AJ33" s="219">
        <f t="shared" si="20"/>
        <v>0</v>
      </c>
      <c r="AK33" s="219">
        <f t="shared" si="21"/>
        <v>0</v>
      </c>
      <c r="AL33" s="219">
        <f t="shared" si="22"/>
        <v>0</v>
      </c>
      <c r="AM33" s="219">
        <f t="shared" si="23"/>
        <v>0</v>
      </c>
      <c r="AN33" s="301">
        <f t="shared" si="24"/>
        <v>0</v>
      </c>
      <c r="AO33" s="301">
        <f t="shared" si="25"/>
        <v>0</v>
      </c>
      <c r="AP33" s="301">
        <f t="shared" si="26"/>
        <v>0</v>
      </c>
      <c r="AQ33" s="301">
        <f t="shared" si="27"/>
        <v>0</v>
      </c>
      <c r="AR33" s="301">
        <f t="shared" si="28"/>
        <v>0</v>
      </c>
      <c r="AS33" s="301">
        <f t="shared" si="29"/>
        <v>0</v>
      </c>
      <c r="AT33" s="302">
        <f t="shared" si="30"/>
        <v>0</v>
      </c>
      <c r="AU33" s="302">
        <f t="shared" si="31"/>
        <v>0</v>
      </c>
      <c r="AV33" s="81">
        <f t="shared" si="32"/>
        <v>0</v>
      </c>
      <c r="AW33" s="82">
        <f t="shared" si="33"/>
        <v>0</v>
      </c>
      <c r="AX33" s="81">
        <f t="shared" si="34"/>
        <v>0</v>
      </c>
      <c r="AY33" s="83">
        <f t="shared" si="35"/>
        <v>0</v>
      </c>
      <c r="AZ33" s="83">
        <f t="shared" si="36"/>
        <v>0</v>
      </c>
      <c r="BA33" s="82">
        <f>IF(OR(B33=Feiertage!$A$16,B33=Feiertage!$A$19),U33*Zuschläge_24_31/100,IF(AZ33&gt;0,AZ33*Feiertag_mit/100,IF(AX33&gt;0,AX33*Zuschläge_Sa/100,IF(AY33&gt;0,AY33*Zuschlag_So/100,0))))</f>
        <v>0</v>
      </c>
      <c r="BB33" s="82">
        <f>IF(AND(B33&lt;&gt;0,G33=Voreinstellung_Übersicht!$D$41),IF(EG=1,W33*Über_klein/100,IF(EG=2,W33*Über_groß/100,"Fehler")),0)</f>
        <v>0</v>
      </c>
      <c r="BC33" s="299">
        <f t="shared" ca="1" si="41"/>
        <v>0</v>
      </c>
      <c r="BD33" s="219">
        <f t="shared" ca="1" si="37"/>
        <v>1</v>
      </c>
      <c r="BE33" s="303">
        <f ca="1">IF(B33="","",INDIRECT(ADDRESS(MATCH(B33,Soll_AZ,1)+MATCH("Arbeitszeit 1 ab",Voreinstellung_Übersicht!B:B,0)-1,4,,,"Voreinstellung_Übersicht"),TRUE))</f>
        <v>1.6666666666666665</v>
      </c>
      <c r="BF33" s="1">
        <f t="shared" si="42"/>
        <v>0</v>
      </c>
    </row>
    <row r="34" spans="1:104" s="1" customFormat="1" ht="15" x14ac:dyDescent="0.3">
      <c r="A34" s="218">
        <f t="shared" si="0"/>
        <v>26</v>
      </c>
      <c r="B34" s="47">
        <f t="shared" si="38"/>
        <v>42181</v>
      </c>
      <c r="C34" s="219">
        <f t="shared" si="1"/>
        <v>1</v>
      </c>
      <c r="D34" s="220" t="str">
        <f t="shared" si="2"/>
        <v/>
      </c>
      <c r="E34" s="298" t="str">
        <f t="shared" si="3"/>
        <v/>
      </c>
      <c r="F34" s="87">
        <f t="shared" si="4"/>
        <v>42181</v>
      </c>
      <c r="G34" s="147"/>
      <c r="H34" s="74"/>
      <c r="I34" s="75"/>
      <c r="J34" s="221">
        <f t="shared" si="5"/>
        <v>0</v>
      </c>
      <c r="K34" s="76"/>
      <c r="L34" s="221">
        <f t="shared" si="43"/>
        <v>0</v>
      </c>
      <c r="M34" s="74"/>
      <c r="N34" s="75"/>
      <c r="O34" s="221">
        <f t="shared" si="6"/>
        <v>0</v>
      </c>
      <c r="P34" s="76"/>
      <c r="Q34" s="221">
        <f t="shared" si="44"/>
        <v>0</v>
      </c>
      <c r="R34" s="221">
        <f t="shared" si="45"/>
        <v>0</v>
      </c>
      <c r="S34" s="221">
        <f t="shared" si="7"/>
        <v>0</v>
      </c>
      <c r="T34" s="79">
        <f t="shared" si="8"/>
        <v>0</v>
      </c>
      <c r="U34" s="79">
        <f t="shared" si="39"/>
        <v>0</v>
      </c>
      <c r="V34" s="80">
        <f t="shared" ca="1" si="9"/>
        <v>0.33333333329999998</v>
      </c>
      <c r="W34" s="249" t="str">
        <f t="shared" ca="1" si="10"/>
        <v/>
      </c>
      <c r="X34" s="293"/>
      <c r="Y34" s="221">
        <f t="shared" si="11"/>
        <v>0</v>
      </c>
      <c r="Z34" s="299">
        <f ca="1">IF(B34="","",INDIRECT(ADDRESS(MATCH(B34,Soll_AZ,1)+MATCH("Arbeitszeit 1 ab",Voreinstellung_Übersicht!B:B,0)-1,WEEKDAY(B34,2)+4,,,"Voreinstellung_Übersicht"),TRUE))</f>
        <v>0.33333333333333331</v>
      </c>
      <c r="AA34" s="300">
        <f t="shared" ca="1" si="40"/>
        <v>0</v>
      </c>
      <c r="AB34" s="219">
        <f t="shared" si="12"/>
        <v>0</v>
      </c>
      <c r="AC34" s="219">
        <f t="shared" si="13"/>
        <v>0</v>
      </c>
      <c r="AD34" s="219">
        <f t="shared" si="14"/>
        <v>0</v>
      </c>
      <c r="AE34" s="219">
        <f t="shared" si="15"/>
        <v>0</v>
      </c>
      <c r="AF34" s="219">
        <f t="shared" si="16"/>
        <v>0</v>
      </c>
      <c r="AG34" s="219">
        <f t="shared" si="17"/>
        <v>0</v>
      </c>
      <c r="AH34" s="219">
        <f t="shared" si="18"/>
        <v>0</v>
      </c>
      <c r="AI34" s="219">
        <f t="shared" si="19"/>
        <v>0</v>
      </c>
      <c r="AJ34" s="219">
        <f t="shared" si="20"/>
        <v>0</v>
      </c>
      <c r="AK34" s="219">
        <f t="shared" si="21"/>
        <v>0</v>
      </c>
      <c r="AL34" s="219">
        <f t="shared" si="22"/>
        <v>0</v>
      </c>
      <c r="AM34" s="219">
        <f t="shared" si="23"/>
        <v>0</v>
      </c>
      <c r="AN34" s="301">
        <f t="shared" si="24"/>
        <v>0</v>
      </c>
      <c r="AO34" s="301">
        <f t="shared" si="25"/>
        <v>0</v>
      </c>
      <c r="AP34" s="301">
        <f t="shared" si="26"/>
        <v>0</v>
      </c>
      <c r="AQ34" s="301">
        <f t="shared" si="27"/>
        <v>0</v>
      </c>
      <c r="AR34" s="301">
        <f t="shared" si="28"/>
        <v>0</v>
      </c>
      <c r="AS34" s="301">
        <f t="shared" si="29"/>
        <v>0</v>
      </c>
      <c r="AT34" s="302">
        <f t="shared" si="30"/>
        <v>0</v>
      </c>
      <c r="AU34" s="302">
        <f t="shared" si="31"/>
        <v>0</v>
      </c>
      <c r="AV34" s="81">
        <f t="shared" si="32"/>
        <v>0</v>
      </c>
      <c r="AW34" s="82">
        <f t="shared" si="33"/>
        <v>0</v>
      </c>
      <c r="AX34" s="81">
        <f t="shared" si="34"/>
        <v>0</v>
      </c>
      <c r="AY34" s="83">
        <f t="shared" si="35"/>
        <v>0</v>
      </c>
      <c r="AZ34" s="83">
        <f t="shared" si="36"/>
        <v>0</v>
      </c>
      <c r="BA34" s="82">
        <f>IF(OR(B34=Feiertage!$A$16,B34=Feiertage!$A$19),U34*Zuschläge_24_31/100,IF(AZ34&gt;0,AZ34*Feiertag_mit/100,IF(AX34&gt;0,AX34*Zuschläge_Sa/100,IF(AY34&gt;0,AY34*Zuschlag_So/100,0))))</f>
        <v>0</v>
      </c>
      <c r="BB34" s="82">
        <f>IF(AND(B34&lt;&gt;0,G34=Voreinstellung_Übersicht!$D$41),IF(EG=1,W34*Über_klein/100,IF(EG=2,W34*Über_groß/100,"Fehler")),0)</f>
        <v>0</v>
      </c>
      <c r="BC34" s="299">
        <f t="shared" ca="1" si="41"/>
        <v>0</v>
      </c>
      <c r="BD34" s="219">
        <f t="shared" ca="1" si="37"/>
        <v>1</v>
      </c>
      <c r="BE34" s="303">
        <f ca="1">IF(B34="","",INDIRECT(ADDRESS(MATCH(B34,Soll_AZ,1)+MATCH("Arbeitszeit 1 ab",Voreinstellung_Übersicht!B:B,0)-1,4,,,"Voreinstellung_Übersicht"),TRUE))</f>
        <v>1.6666666666666665</v>
      </c>
      <c r="BF34" s="1">
        <f t="shared" si="42"/>
        <v>0</v>
      </c>
    </row>
    <row r="35" spans="1:104" s="1" customFormat="1" ht="15" x14ac:dyDescent="0.3">
      <c r="A35" s="218">
        <f t="shared" si="0"/>
        <v>26</v>
      </c>
      <c r="B35" s="47">
        <f t="shared" si="38"/>
        <v>42182</v>
      </c>
      <c r="C35" s="219">
        <f t="shared" si="1"/>
        <v>1</v>
      </c>
      <c r="D35" s="220" t="str">
        <f t="shared" si="2"/>
        <v/>
      </c>
      <c r="E35" s="298" t="str">
        <f t="shared" si="3"/>
        <v/>
      </c>
      <c r="F35" s="87">
        <f t="shared" si="4"/>
        <v>42182</v>
      </c>
      <c r="G35" s="147"/>
      <c r="H35" s="74"/>
      <c r="I35" s="75"/>
      <c r="J35" s="221">
        <f t="shared" si="5"/>
        <v>0</v>
      </c>
      <c r="K35" s="76"/>
      <c r="L35" s="221">
        <f t="shared" si="43"/>
        <v>0</v>
      </c>
      <c r="M35" s="74"/>
      <c r="N35" s="75"/>
      <c r="O35" s="221">
        <f t="shared" si="6"/>
        <v>0</v>
      </c>
      <c r="P35" s="76"/>
      <c r="Q35" s="221">
        <f t="shared" si="44"/>
        <v>0</v>
      </c>
      <c r="R35" s="221">
        <f t="shared" si="45"/>
        <v>0</v>
      </c>
      <c r="S35" s="221">
        <f t="shared" si="7"/>
        <v>0</v>
      </c>
      <c r="T35" s="79">
        <f t="shared" si="8"/>
        <v>0</v>
      </c>
      <c r="U35" s="79">
        <f t="shared" si="39"/>
        <v>0</v>
      </c>
      <c r="V35" s="80">
        <f t="shared" ca="1" si="9"/>
        <v>0.33333333329999998</v>
      </c>
      <c r="W35" s="249" t="str">
        <f t="shared" ca="1" si="10"/>
        <v/>
      </c>
      <c r="X35" s="293"/>
      <c r="Y35" s="221">
        <f t="shared" si="11"/>
        <v>0</v>
      </c>
      <c r="Z35" s="299">
        <f ca="1">IF(B35="","",INDIRECT(ADDRESS(MATCH(B35,Soll_AZ,1)+MATCH("Arbeitszeit 1 ab",Voreinstellung_Übersicht!B:B,0)-1,WEEKDAY(B35,2)+4,,,"Voreinstellung_Übersicht"),TRUE))</f>
        <v>0.33333333333333331</v>
      </c>
      <c r="AA35" s="300">
        <f t="shared" ca="1" si="40"/>
        <v>0</v>
      </c>
      <c r="AB35" s="219">
        <f t="shared" si="12"/>
        <v>0</v>
      </c>
      <c r="AC35" s="219">
        <f t="shared" si="13"/>
        <v>0</v>
      </c>
      <c r="AD35" s="219">
        <f t="shared" si="14"/>
        <v>0</v>
      </c>
      <c r="AE35" s="219">
        <f t="shared" si="15"/>
        <v>0</v>
      </c>
      <c r="AF35" s="219">
        <f t="shared" si="16"/>
        <v>0</v>
      </c>
      <c r="AG35" s="219">
        <f t="shared" si="17"/>
        <v>0</v>
      </c>
      <c r="AH35" s="219">
        <f t="shared" si="18"/>
        <v>0</v>
      </c>
      <c r="AI35" s="219">
        <f t="shared" si="19"/>
        <v>0</v>
      </c>
      <c r="AJ35" s="219">
        <f t="shared" si="20"/>
        <v>0</v>
      </c>
      <c r="AK35" s="219">
        <f t="shared" si="21"/>
        <v>0</v>
      </c>
      <c r="AL35" s="219">
        <f t="shared" si="22"/>
        <v>0</v>
      </c>
      <c r="AM35" s="219">
        <f t="shared" si="23"/>
        <v>0</v>
      </c>
      <c r="AN35" s="301">
        <f t="shared" si="24"/>
        <v>0</v>
      </c>
      <c r="AO35" s="301">
        <f t="shared" si="25"/>
        <v>0</v>
      </c>
      <c r="AP35" s="301">
        <f t="shared" si="26"/>
        <v>0</v>
      </c>
      <c r="AQ35" s="301">
        <f t="shared" si="27"/>
        <v>0</v>
      </c>
      <c r="AR35" s="301">
        <f t="shared" si="28"/>
        <v>0</v>
      </c>
      <c r="AS35" s="301">
        <f t="shared" si="29"/>
        <v>0</v>
      </c>
      <c r="AT35" s="302">
        <f t="shared" si="30"/>
        <v>0</v>
      </c>
      <c r="AU35" s="302">
        <f t="shared" si="31"/>
        <v>0</v>
      </c>
      <c r="AV35" s="81">
        <f t="shared" si="32"/>
        <v>0</v>
      </c>
      <c r="AW35" s="82">
        <f t="shared" si="33"/>
        <v>0</v>
      </c>
      <c r="AX35" s="81">
        <f t="shared" si="34"/>
        <v>0</v>
      </c>
      <c r="AY35" s="83">
        <f t="shared" si="35"/>
        <v>0</v>
      </c>
      <c r="AZ35" s="83">
        <f t="shared" si="36"/>
        <v>0</v>
      </c>
      <c r="BA35" s="82">
        <f>IF(OR(B35=Feiertage!$A$16,B35=Feiertage!$A$19),U35*Zuschläge_24_31/100,IF(AZ35&gt;0,AZ35*Feiertag_mit/100,IF(AX35&gt;0,AX35*Zuschläge_Sa/100,IF(AY35&gt;0,AY35*Zuschlag_So/100,0))))</f>
        <v>0</v>
      </c>
      <c r="BB35" s="82">
        <f>IF(AND(B35&lt;&gt;0,G35=Voreinstellung_Übersicht!$D$41),IF(EG=1,W35*Über_klein/100,IF(EG=2,W35*Über_groß/100,"Fehler")),0)</f>
        <v>0</v>
      </c>
      <c r="BC35" s="299">
        <f t="shared" ca="1" si="41"/>
        <v>0</v>
      </c>
      <c r="BD35" s="219">
        <f t="shared" ca="1" si="37"/>
        <v>1</v>
      </c>
      <c r="BE35" s="303">
        <f ca="1">IF(B35="","",INDIRECT(ADDRESS(MATCH(B35,Soll_AZ,1)+MATCH("Arbeitszeit 1 ab",Voreinstellung_Übersicht!B:B,0)-1,4,,,"Voreinstellung_Übersicht"),TRUE))</f>
        <v>1.6666666666666665</v>
      </c>
      <c r="BF35" s="1">
        <f t="shared" si="42"/>
        <v>0</v>
      </c>
    </row>
    <row r="36" spans="1:104" s="1" customFormat="1" ht="15" x14ac:dyDescent="0.3">
      <c r="A36" s="218">
        <f t="shared" si="0"/>
        <v>26</v>
      </c>
      <c r="B36" s="47">
        <f t="shared" si="38"/>
        <v>42183</v>
      </c>
      <c r="C36" s="219">
        <f t="shared" si="1"/>
        <v>0</v>
      </c>
      <c r="D36" s="220" t="str">
        <f t="shared" si="2"/>
        <v/>
      </c>
      <c r="E36" s="298" t="str">
        <f t="shared" si="3"/>
        <v/>
      </c>
      <c r="F36" s="87">
        <f t="shared" si="4"/>
        <v>42183</v>
      </c>
      <c r="G36" s="147"/>
      <c r="H36" s="74"/>
      <c r="I36" s="75"/>
      <c r="J36" s="221">
        <f t="shared" si="5"/>
        <v>0</v>
      </c>
      <c r="K36" s="76"/>
      <c r="L36" s="221">
        <f t="shared" si="43"/>
        <v>0</v>
      </c>
      <c r="M36" s="74"/>
      <c r="N36" s="75"/>
      <c r="O36" s="221">
        <f t="shared" si="6"/>
        <v>0</v>
      </c>
      <c r="P36" s="76"/>
      <c r="Q36" s="221">
        <f t="shared" si="44"/>
        <v>0</v>
      </c>
      <c r="R36" s="221">
        <f t="shared" si="45"/>
        <v>0</v>
      </c>
      <c r="S36" s="221">
        <f t="shared" si="7"/>
        <v>0</v>
      </c>
      <c r="T36" s="79">
        <f t="shared" si="8"/>
        <v>0</v>
      </c>
      <c r="U36" s="79">
        <f t="shared" si="39"/>
        <v>0</v>
      </c>
      <c r="V36" s="80">
        <f t="shared" ca="1" si="9"/>
        <v>0</v>
      </c>
      <c r="W36" s="249" t="str">
        <f t="shared" ca="1" si="10"/>
        <v/>
      </c>
      <c r="X36" s="293"/>
      <c r="Y36" s="221">
        <f t="shared" si="11"/>
        <v>0</v>
      </c>
      <c r="Z36" s="299">
        <f ca="1">IF(B36="","",INDIRECT(ADDRESS(MATCH(B36,Soll_AZ,1)+MATCH("Arbeitszeit 1 ab",Voreinstellung_Übersicht!B:B,0)-1,WEEKDAY(B36,2)+4,,,"Voreinstellung_Übersicht"),TRUE))</f>
        <v>0</v>
      </c>
      <c r="AA36" s="300">
        <f t="shared" ca="1" si="40"/>
        <v>0</v>
      </c>
      <c r="AB36" s="219">
        <f t="shared" si="12"/>
        <v>0</v>
      </c>
      <c r="AC36" s="219">
        <f t="shared" si="13"/>
        <v>0</v>
      </c>
      <c r="AD36" s="219">
        <f t="shared" si="14"/>
        <v>0</v>
      </c>
      <c r="AE36" s="219">
        <f t="shared" si="15"/>
        <v>0</v>
      </c>
      <c r="AF36" s="219">
        <f t="shared" si="16"/>
        <v>0</v>
      </c>
      <c r="AG36" s="219">
        <f t="shared" si="17"/>
        <v>0</v>
      </c>
      <c r="AH36" s="219">
        <f t="shared" si="18"/>
        <v>0</v>
      </c>
      <c r="AI36" s="219">
        <f t="shared" si="19"/>
        <v>0</v>
      </c>
      <c r="AJ36" s="219">
        <f t="shared" si="20"/>
        <v>0</v>
      </c>
      <c r="AK36" s="219">
        <f t="shared" si="21"/>
        <v>0</v>
      </c>
      <c r="AL36" s="219">
        <f t="shared" si="22"/>
        <v>0</v>
      </c>
      <c r="AM36" s="219">
        <f t="shared" si="23"/>
        <v>0</v>
      </c>
      <c r="AN36" s="301">
        <f t="shared" si="24"/>
        <v>0</v>
      </c>
      <c r="AO36" s="301">
        <f t="shared" si="25"/>
        <v>0</v>
      </c>
      <c r="AP36" s="301">
        <f t="shared" si="26"/>
        <v>0</v>
      </c>
      <c r="AQ36" s="301">
        <f t="shared" si="27"/>
        <v>0</v>
      </c>
      <c r="AR36" s="301">
        <f t="shared" si="28"/>
        <v>0</v>
      </c>
      <c r="AS36" s="301">
        <f t="shared" si="29"/>
        <v>0</v>
      </c>
      <c r="AT36" s="302">
        <f t="shared" si="30"/>
        <v>0</v>
      </c>
      <c r="AU36" s="302">
        <f t="shared" si="31"/>
        <v>0</v>
      </c>
      <c r="AV36" s="81">
        <f t="shared" si="32"/>
        <v>0</v>
      </c>
      <c r="AW36" s="82">
        <f t="shared" si="33"/>
        <v>0</v>
      </c>
      <c r="AX36" s="81">
        <f t="shared" si="34"/>
        <v>0</v>
      </c>
      <c r="AY36" s="83">
        <f t="shared" si="35"/>
        <v>0</v>
      </c>
      <c r="AZ36" s="83">
        <f t="shared" si="36"/>
        <v>0</v>
      </c>
      <c r="BA36" s="82">
        <f>IF(OR(B36=Feiertage!$A$16,B36=Feiertage!$A$19),U36*Zuschläge_24_31/100,IF(AZ36&gt;0,AZ36*Feiertag_mit/100,IF(AX36&gt;0,AX36*Zuschläge_Sa/100,IF(AY36&gt;0,AY36*Zuschlag_So/100,0))))</f>
        <v>0</v>
      </c>
      <c r="BB36" s="82">
        <f>IF(AND(B36&lt;&gt;0,G36=Voreinstellung_Übersicht!$D$41),IF(EG=1,W36*Über_klein/100,IF(EG=2,W36*Über_groß/100,"Fehler")),0)</f>
        <v>0</v>
      </c>
      <c r="BC36" s="299">
        <f t="shared" ca="1" si="41"/>
        <v>0</v>
      </c>
      <c r="BD36" s="219">
        <f t="shared" ca="1" si="37"/>
        <v>1</v>
      </c>
      <c r="BE36" s="303">
        <f ca="1">IF(B36="","",INDIRECT(ADDRESS(MATCH(B36,Soll_AZ,1)+MATCH("Arbeitszeit 1 ab",Voreinstellung_Übersicht!B:B,0)-1,4,,,"Voreinstellung_Übersicht"),TRUE))</f>
        <v>1.6666666666666665</v>
      </c>
      <c r="BF36" s="1">
        <f t="shared" si="42"/>
        <v>0</v>
      </c>
    </row>
    <row r="37" spans="1:104" s="1" customFormat="1" ht="15" x14ac:dyDescent="0.3">
      <c r="A37" s="218">
        <f t="shared" si="0"/>
        <v>27</v>
      </c>
      <c r="B37" s="47">
        <f t="shared" si="38"/>
        <v>42184</v>
      </c>
      <c r="C37" s="219">
        <f t="shared" si="1"/>
        <v>0</v>
      </c>
      <c r="D37" s="220" t="str">
        <f t="shared" si="2"/>
        <v/>
      </c>
      <c r="E37" s="298" t="str">
        <f t="shared" si="3"/>
        <v/>
      </c>
      <c r="F37" s="87">
        <f t="shared" si="4"/>
        <v>42184</v>
      </c>
      <c r="G37" s="147"/>
      <c r="H37" s="74"/>
      <c r="I37" s="75"/>
      <c r="J37" s="221">
        <f t="shared" si="5"/>
        <v>0</v>
      </c>
      <c r="K37" s="76"/>
      <c r="L37" s="221">
        <f t="shared" si="43"/>
        <v>0</v>
      </c>
      <c r="M37" s="74"/>
      <c r="N37" s="75"/>
      <c r="O37" s="221">
        <f t="shared" si="6"/>
        <v>0</v>
      </c>
      <c r="P37" s="76"/>
      <c r="Q37" s="221">
        <f t="shared" si="44"/>
        <v>0</v>
      </c>
      <c r="R37" s="221">
        <f t="shared" si="45"/>
        <v>0</v>
      </c>
      <c r="S37" s="221">
        <f t="shared" si="7"/>
        <v>0</v>
      </c>
      <c r="T37" s="79">
        <f t="shared" si="8"/>
        <v>0</v>
      </c>
      <c r="U37" s="79">
        <f t="shared" si="39"/>
        <v>0</v>
      </c>
      <c r="V37" s="80">
        <f t="shared" ca="1" si="9"/>
        <v>0</v>
      </c>
      <c r="W37" s="249" t="str">
        <f t="shared" ca="1" si="10"/>
        <v/>
      </c>
      <c r="X37" s="293"/>
      <c r="Y37" s="221">
        <f t="shared" si="11"/>
        <v>0</v>
      </c>
      <c r="Z37" s="299">
        <f ca="1">IF(B37="","",INDIRECT(ADDRESS(MATCH(B37,Soll_AZ,1)+MATCH("Arbeitszeit 1 ab",Voreinstellung_Übersicht!B:B,0)-1,WEEKDAY(B37,2)+4,,,"Voreinstellung_Übersicht"),TRUE))</f>
        <v>0</v>
      </c>
      <c r="AA37" s="300">
        <f t="shared" ca="1" si="40"/>
        <v>0</v>
      </c>
      <c r="AB37" s="219">
        <f t="shared" si="12"/>
        <v>0</v>
      </c>
      <c r="AC37" s="219">
        <f t="shared" si="13"/>
        <v>0</v>
      </c>
      <c r="AD37" s="219">
        <f t="shared" si="14"/>
        <v>0</v>
      </c>
      <c r="AE37" s="219">
        <f t="shared" si="15"/>
        <v>0</v>
      </c>
      <c r="AF37" s="219">
        <f t="shared" si="16"/>
        <v>0</v>
      </c>
      <c r="AG37" s="219">
        <f t="shared" si="17"/>
        <v>0</v>
      </c>
      <c r="AH37" s="219">
        <f t="shared" si="18"/>
        <v>0</v>
      </c>
      <c r="AI37" s="219">
        <f t="shared" si="19"/>
        <v>0</v>
      </c>
      <c r="AJ37" s="219">
        <f t="shared" si="20"/>
        <v>0</v>
      </c>
      <c r="AK37" s="219">
        <f t="shared" si="21"/>
        <v>0</v>
      </c>
      <c r="AL37" s="219">
        <f t="shared" si="22"/>
        <v>0</v>
      </c>
      <c r="AM37" s="219">
        <f t="shared" si="23"/>
        <v>0</v>
      </c>
      <c r="AN37" s="301">
        <f t="shared" si="24"/>
        <v>0</v>
      </c>
      <c r="AO37" s="301">
        <f t="shared" si="25"/>
        <v>0</v>
      </c>
      <c r="AP37" s="301">
        <f t="shared" si="26"/>
        <v>0</v>
      </c>
      <c r="AQ37" s="301">
        <f t="shared" si="27"/>
        <v>0</v>
      </c>
      <c r="AR37" s="301">
        <f t="shared" si="28"/>
        <v>0</v>
      </c>
      <c r="AS37" s="301">
        <f t="shared" si="29"/>
        <v>0</v>
      </c>
      <c r="AT37" s="302">
        <f t="shared" si="30"/>
        <v>0</v>
      </c>
      <c r="AU37" s="302">
        <f t="shared" si="31"/>
        <v>0</v>
      </c>
      <c r="AV37" s="81">
        <f t="shared" si="32"/>
        <v>0</v>
      </c>
      <c r="AW37" s="82">
        <f t="shared" si="33"/>
        <v>0</v>
      </c>
      <c r="AX37" s="81">
        <f t="shared" si="34"/>
        <v>0</v>
      </c>
      <c r="AY37" s="83">
        <f t="shared" si="35"/>
        <v>0</v>
      </c>
      <c r="AZ37" s="83">
        <f t="shared" si="36"/>
        <v>0</v>
      </c>
      <c r="BA37" s="82">
        <f>IF(OR(B37=Feiertage!$A$16,B37=Feiertage!$A$19),U37*Zuschläge_24_31/100,IF(AZ37&gt;0,AZ37*Feiertag_mit/100,IF(AX37&gt;0,AX37*Zuschläge_Sa/100,IF(AY37&gt;0,AY37*Zuschlag_So/100,0))))</f>
        <v>0</v>
      </c>
      <c r="BB37" s="82">
        <f>IF(AND(B37&lt;&gt;0,G37=Voreinstellung_Übersicht!$D$41),IF(EG=1,W37*Über_klein/100,IF(EG=2,W37*Über_groß/100,"Fehler")),0)</f>
        <v>0</v>
      </c>
      <c r="BC37" s="299">
        <f t="shared" ca="1" si="41"/>
        <v>0</v>
      </c>
      <c r="BD37" s="219">
        <f t="shared" ca="1" si="37"/>
        <v>1</v>
      </c>
      <c r="BE37" s="303">
        <f ca="1">IF(B37="","",INDIRECT(ADDRESS(MATCH(B37,Soll_AZ,1)+MATCH("Arbeitszeit 1 ab",Voreinstellung_Übersicht!B:B,0)-1,4,,,"Voreinstellung_Übersicht"),TRUE))</f>
        <v>1.6666666666666665</v>
      </c>
      <c r="BF37" s="1">
        <f t="shared" si="42"/>
        <v>0</v>
      </c>
    </row>
    <row r="38" spans="1:104" s="172" customFormat="1" ht="15" x14ac:dyDescent="0.3">
      <c r="A38" s="229"/>
      <c r="B38" s="217"/>
      <c r="C38" s="230"/>
      <c r="D38" s="231"/>
      <c r="E38" s="304"/>
      <c r="F38" s="216"/>
      <c r="G38" s="147"/>
      <c r="H38" s="77"/>
      <c r="I38" s="75"/>
      <c r="J38" s="221"/>
      <c r="K38" s="76"/>
      <c r="L38" s="221"/>
      <c r="M38" s="77"/>
      <c r="N38" s="215"/>
      <c r="O38" s="232"/>
      <c r="P38" s="78"/>
      <c r="Q38" s="221"/>
      <c r="R38" s="221"/>
      <c r="S38" s="221"/>
      <c r="T38" s="79"/>
      <c r="U38" s="79"/>
      <c r="V38" s="80"/>
      <c r="W38" s="249"/>
      <c r="X38" s="294"/>
      <c r="Y38" s="221"/>
      <c r="Z38" s="299"/>
      <c r="AA38" s="300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301"/>
      <c r="AO38" s="301"/>
      <c r="AP38" s="301"/>
      <c r="AQ38" s="301"/>
      <c r="AR38" s="301"/>
      <c r="AS38" s="301"/>
      <c r="AT38" s="302"/>
      <c r="AU38" s="302"/>
      <c r="AV38" s="81"/>
      <c r="AW38" s="82"/>
      <c r="AX38" s="81"/>
      <c r="AY38" s="212"/>
      <c r="AZ38" s="212"/>
      <c r="BA38" s="213"/>
      <c r="BB38" s="213"/>
      <c r="BC38" s="299">
        <f t="shared" ca="1" si="41"/>
        <v>0</v>
      </c>
      <c r="BD38" s="219"/>
      <c r="BE38" s="306"/>
      <c r="BF38" s="1">
        <f t="shared" si="42"/>
        <v>0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5" x14ac:dyDescent="0.25">
      <c r="A39" s="233"/>
      <c r="B39" s="233"/>
      <c r="C39" s="233"/>
      <c r="D39" s="233"/>
      <c r="E39" s="233"/>
      <c r="F39" s="488" t="s">
        <v>49</v>
      </c>
      <c r="G39" s="489"/>
      <c r="H39" s="482" t="s">
        <v>171</v>
      </c>
      <c r="I39" s="483"/>
      <c r="J39" s="307"/>
      <c r="K39" s="308">
        <f>AB39</f>
        <v>0</v>
      </c>
      <c r="L39" s="221"/>
      <c r="M39" s="206"/>
      <c r="N39" s="206"/>
      <c r="O39" s="221"/>
      <c r="P39" s="206"/>
      <c r="Q39" s="221"/>
      <c r="R39" s="221"/>
      <c r="S39" s="221"/>
      <c r="T39" s="479" t="s">
        <v>172</v>
      </c>
      <c r="U39" s="482" t="s">
        <v>171</v>
      </c>
      <c r="V39" s="483"/>
      <c r="W39" s="234">
        <f ca="1">Mai!W41</f>
        <v>0</v>
      </c>
      <c r="X39" s="309"/>
      <c r="Y39" s="221" t="s">
        <v>173</v>
      </c>
      <c r="Z39" s="299" t="s">
        <v>174</v>
      </c>
      <c r="AA39" s="300"/>
      <c r="AB39" s="219">
        <f>Mai!AB41</f>
        <v>0</v>
      </c>
      <c r="AC39" s="219">
        <f>Mai!AC41</f>
        <v>0</v>
      </c>
      <c r="AD39" s="219">
        <f>Mai!AD41</f>
        <v>0</v>
      </c>
      <c r="AE39" s="219">
        <f>Mai!AE41</f>
        <v>0</v>
      </c>
      <c r="AF39" s="219">
        <f>Mai!AF41</f>
        <v>0</v>
      </c>
      <c r="AG39" s="219">
        <f>Mai!AG41</f>
        <v>0</v>
      </c>
      <c r="AH39" s="219">
        <f>Mai!AH41</f>
        <v>0</v>
      </c>
      <c r="AI39" s="219">
        <f>Mai!AI41</f>
        <v>0</v>
      </c>
      <c r="AJ39" s="219">
        <f>Mai!AJ41</f>
        <v>0</v>
      </c>
      <c r="AK39" s="219">
        <f>Mai!AK41</f>
        <v>0</v>
      </c>
      <c r="AL39" s="219">
        <f>Mai!AL41</f>
        <v>0</v>
      </c>
      <c r="AM39" s="219">
        <f>Mai!AM41</f>
        <v>0</v>
      </c>
      <c r="AN39" s="301"/>
      <c r="AO39" s="301"/>
      <c r="AP39" s="301"/>
      <c r="AQ39" s="301"/>
      <c r="AR39" s="301"/>
      <c r="AS39" s="301"/>
      <c r="AT39" s="302"/>
      <c r="AU39" s="302"/>
      <c r="AV39" s="484" t="s">
        <v>176</v>
      </c>
      <c r="AW39" s="234">
        <f>Voreinstellung_Übersicht!H12</f>
        <v>0</v>
      </c>
      <c r="AX39" s="310">
        <f>IF(AZ_Konto,SUM(AW8:AW38),0)</f>
        <v>0</v>
      </c>
      <c r="AY39" s="311"/>
      <c r="AZ39" s="312"/>
      <c r="BA39" s="311">
        <f>IF(AZ_Konto,SUM(BA8:BA38),0)</f>
        <v>0</v>
      </c>
      <c r="BB39" s="311">
        <f>IF(AZ_Konto,SUM(BB8:BB38),0)</f>
        <v>0</v>
      </c>
      <c r="BC39" s="299">
        <f ca="1">BC38</f>
        <v>0</v>
      </c>
      <c r="BD39" s="219"/>
      <c r="BE39" s="303"/>
      <c r="BF39"/>
    </row>
    <row r="40" spans="1:104" ht="15" x14ac:dyDescent="0.25">
      <c r="A40" s="233"/>
      <c r="B40" s="233"/>
      <c r="C40" s="233"/>
      <c r="D40" s="233"/>
      <c r="E40" s="233"/>
      <c r="F40" s="488"/>
      <c r="G40" s="490"/>
      <c r="H40" s="482" t="s">
        <v>177</v>
      </c>
      <c r="I40" s="483"/>
      <c r="J40" s="235"/>
      <c r="K40" s="236">
        <f>-AB40</f>
        <v>0</v>
      </c>
      <c r="L40" s="221"/>
      <c r="M40" s="206"/>
      <c r="N40" s="206"/>
      <c r="O40" s="221"/>
      <c r="P40" s="206"/>
      <c r="Q40" s="221"/>
      <c r="R40" s="221"/>
      <c r="S40" s="221"/>
      <c r="T40" s="480"/>
      <c r="U40" s="482" t="s">
        <v>177</v>
      </c>
      <c r="V40" s="483"/>
      <c r="W40" s="237">
        <f ca="1">SUM(W8:W38)</f>
        <v>0</v>
      </c>
      <c r="X40" s="309"/>
      <c r="Y40" s="221">
        <f>SUM(Y8:Y38)</f>
        <v>0</v>
      </c>
      <c r="Z40" s="299">
        <f ca="1">SUM(Z8:Z38)</f>
        <v>6.6666666666666643</v>
      </c>
      <c r="AA40" s="300"/>
      <c r="AB40" s="219">
        <f t="shared" ref="AB40:AM40" si="46">SUM(AB8:AB38)</f>
        <v>0</v>
      </c>
      <c r="AC40" s="219">
        <f t="shared" si="46"/>
        <v>0</v>
      </c>
      <c r="AD40" s="219">
        <f t="shared" si="46"/>
        <v>0</v>
      </c>
      <c r="AE40" s="219">
        <f t="shared" si="46"/>
        <v>0</v>
      </c>
      <c r="AF40" s="219">
        <f t="shared" si="46"/>
        <v>0</v>
      </c>
      <c r="AG40" s="219">
        <f t="shared" si="46"/>
        <v>0</v>
      </c>
      <c r="AH40" s="219">
        <f t="shared" si="46"/>
        <v>0</v>
      </c>
      <c r="AI40" s="219">
        <f t="shared" si="46"/>
        <v>0</v>
      </c>
      <c r="AJ40" s="219">
        <f t="shared" si="46"/>
        <v>0</v>
      </c>
      <c r="AK40" s="219">
        <f t="shared" si="46"/>
        <v>0</v>
      </c>
      <c r="AL40" s="219">
        <f t="shared" si="46"/>
        <v>0</v>
      </c>
      <c r="AM40" s="219">
        <f t="shared" si="46"/>
        <v>0</v>
      </c>
      <c r="AN40" s="301"/>
      <c r="AO40" s="301"/>
      <c r="AP40" s="301"/>
      <c r="AQ40" s="301"/>
      <c r="AR40" s="301"/>
      <c r="AS40" s="301"/>
      <c r="AT40" s="302"/>
      <c r="AU40" s="302"/>
      <c r="AV40" s="485"/>
      <c r="AW40" s="237" t="str">
        <f>IF(SUM(AX39,BA39,BB39)&gt;0,SUM(AX39,BA39,BB39),"")</f>
        <v/>
      </c>
      <c r="AX40" s="313"/>
      <c r="AY40" s="313"/>
      <c r="AZ40" s="313"/>
      <c r="BA40" s="313"/>
      <c r="BB40" s="313"/>
      <c r="BC40" s="299"/>
      <c r="BD40" s="219"/>
      <c r="BE40" s="303"/>
      <c r="BF40"/>
    </row>
    <row r="41" spans="1:104" ht="15" x14ac:dyDescent="0.25">
      <c r="A41" s="233"/>
      <c r="B41" s="233"/>
      <c r="C41" s="233"/>
      <c r="D41" s="233"/>
      <c r="E41" s="233"/>
      <c r="F41" s="491"/>
      <c r="G41" s="492"/>
      <c r="H41" s="482" t="s">
        <v>178</v>
      </c>
      <c r="I41" s="483"/>
      <c r="J41" s="238"/>
      <c r="K41" s="239">
        <f>AB41</f>
        <v>0</v>
      </c>
      <c r="L41" s="221"/>
      <c r="M41" s="206"/>
      <c r="N41" s="206"/>
      <c r="O41" s="221"/>
      <c r="P41" s="206"/>
      <c r="Q41" s="221"/>
      <c r="R41" s="221"/>
      <c r="S41" s="221"/>
      <c r="T41" s="481"/>
      <c r="U41" s="482" t="s">
        <v>178</v>
      </c>
      <c r="V41" s="483"/>
      <c r="W41" s="240">
        <f ca="1">SUM(W39:W40)</f>
        <v>0</v>
      </c>
      <c r="X41" s="309"/>
      <c r="Y41" s="221"/>
      <c r="Z41" s="299"/>
      <c r="AA41" s="300"/>
      <c r="AB41" s="219">
        <f>AB39-AB40</f>
        <v>0</v>
      </c>
      <c r="AC41" s="219">
        <f t="shared" ref="AC41:AM41" si="47">SUM(AC39:AC40)</f>
        <v>0</v>
      </c>
      <c r="AD41" s="219">
        <f t="shared" si="47"/>
        <v>0</v>
      </c>
      <c r="AE41" s="219">
        <f t="shared" si="47"/>
        <v>0</v>
      </c>
      <c r="AF41" s="219">
        <f t="shared" si="47"/>
        <v>0</v>
      </c>
      <c r="AG41" s="219">
        <f t="shared" si="47"/>
        <v>0</v>
      </c>
      <c r="AH41" s="219">
        <f t="shared" si="47"/>
        <v>0</v>
      </c>
      <c r="AI41" s="219">
        <f t="shared" si="47"/>
        <v>0</v>
      </c>
      <c r="AJ41" s="219">
        <f t="shared" si="47"/>
        <v>0</v>
      </c>
      <c r="AK41" s="219">
        <f t="shared" si="47"/>
        <v>0</v>
      </c>
      <c r="AL41" s="219">
        <f t="shared" si="47"/>
        <v>0</v>
      </c>
      <c r="AM41" s="219">
        <f t="shared" si="47"/>
        <v>0</v>
      </c>
      <c r="AN41" s="301"/>
      <c r="AO41" s="301"/>
      <c r="AP41" s="301"/>
      <c r="AQ41" s="301"/>
      <c r="AR41" s="301"/>
      <c r="AS41" s="301"/>
      <c r="AT41" s="302"/>
      <c r="AU41" s="302"/>
      <c r="AV41" s="486"/>
      <c r="AW41" s="240">
        <f>SUM(AW39:AW40)</f>
        <v>0</v>
      </c>
      <c r="AX41" s="314"/>
      <c r="AY41" s="314"/>
      <c r="AZ41" s="314"/>
      <c r="BA41" s="314"/>
      <c r="BB41" s="314"/>
      <c r="BC41" s="299"/>
      <c r="BD41" s="219"/>
      <c r="BE41" s="303"/>
      <c r="BF41"/>
    </row>
    <row r="42" spans="1:104" s="1" customFormat="1" ht="15" x14ac:dyDescent="0.3">
      <c r="A42" s="88"/>
      <c r="B42" s="47"/>
      <c r="C42" s="6"/>
      <c r="D42" s="89"/>
      <c r="E42" s="90"/>
      <c r="F42" s="487" t="s">
        <v>179</v>
      </c>
      <c r="G42" s="487"/>
      <c r="H42" s="487"/>
      <c r="I42" s="487"/>
      <c r="J42" s="347"/>
      <c r="K42" s="186">
        <f>NETWORKDAYS(B8,B37,Feiertage)</f>
        <v>19</v>
      </c>
      <c r="L42" s="331"/>
      <c r="M42" s="330"/>
      <c r="N42" s="330"/>
      <c r="O42" s="331"/>
      <c r="P42" s="330"/>
      <c r="Q42" s="331"/>
      <c r="R42" s="331"/>
      <c r="S42" s="331"/>
      <c r="T42" s="332"/>
      <c r="U42" s="332"/>
      <c r="V42" s="332"/>
      <c r="W42" s="332"/>
      <c r="X42" s="333"/>
      <c r="Y42" s="331"/>
      <c r="Z42" s="334"/>
      <c r="AA42" s="335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7"/>
      <c r="AO42" s="337"/>
      <c r="AP42" s="337"/>
      <c r="AQ42" s="337"/>
      <c r="AR42" s="337"/>
      <c r="AS42" s="337"/>
      <c r="AT42" s="338"/>
      <c r="AU42" s="338"/>
      <c r="AV42" s="339"/>
      <c r="AW42" s="340"/>
      <c r="AX42" s="83"/>
      <c r="AY42" s="83"/>
      <c r="AZ42" s="83"/>
      <c r="BA42" s="173"/>
      <c r="BB42" s="173"/>
      <c r="BC42" s="15"/>
      <c r="BD42" s="6"/>
      <c r="BE42" s="169"/>
    </row>
    <row r="43" spans="1:104" s="1" customFormat="1" ht="15" x14ac:dyDescent="0.3">
      <c r="A43" s="11"/>
      <c r="B43" s="47"/>
      <c r="C43" s="6"/>
      <c r="D43" s="6"/>
      <c r="E43" s="12"/>
      <c r="F43" s="487" t="s">
        <v>180</v>
      </c>
      <c r="G43" s="487"/>
      <c r="H43" s="487"/>
      <c r="I43" s="487"/>
      <c r="J43" s="348"/>
      <c r="K43" s="186">
        <f>SUM(BF8:BF38)</f>
        <v>0</v>
      </c>
      <c r="L43" s="336"/>
      <c r="M43" s="341"/>
      <c r="N43" s="341"/>
      <c r="O43" s="336"/>
      <c r="P43" s="341"/>
      <c r="Q43" s="336"/>
      <c r="R43" s="336"/>
      <c r="S43" s="336"/>
      <c r="T43" s="341"/>
      <c r="U43" s="341"/>
      <c r="V43" s="341"/>
      <c r="W43" s="341"/>
      <c r="X43" s="342"/>
      <c r="Y43" s="331"/>
      <c r="Z43" s="343"/>
      <c r="AA43" s="344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45"/>
      <c r="AO43" s="336"/>
      <c r="AP43" s="336"/>
      <c r="AQ43" s="336"/>
      <c r="AR43" s="336"/>
      <c r="AS43" s="336"/>
      <c r="AT43" s="346"/>
      <c r="AU43" s="346"/>
      <c r="AV43" s="341"/>
      <c r="AW43" s="341"/>
      <c r="AX43" s="26"/>
      <c r="AY43" s="26"/>
      <c r="AZ43" s="26"/>
      <c r="BA43" s="26"/>
      <c r="BC43" s="6"/>
      <c r="BD43" s="6"/>
      <c r="BE43" s="6"/>
    </row>
    <row r="45" spans="1:104" x14ac:dyDescent="0.3">
      <c r="A45" s="11"/>
      <c r="B45" s="47"/>
      <c r="C45" s="6"/>
      <c r="D45" s="6"/>
      <c r="E45" s="12"/>
      <c r="F45" s="329"/>
      <c r="G45" s="329"/>
      <c r="H45" s="341"/>
      <c r="I45" s="341"/>
      <c r="J45" s="336"/>
      <c r="K45" s="341"/>
      <c r="L45" s="336"/>
      <c r="M45" s="341"/>
      <c r="N45" s="341"/>
      <c r="O45" s="336"/>
      <c r="P45" s="341"/>
      <c r="Q45" s="336"/>
      <c r="R45" s="336"/>
      <c r="S45" s="336"/>
      <c r="T45" s="341"/>
      <c r="U45" s="341"/>
      <c r="V45" s="341"/>
      <c r="W45" s="341"/>
      <c r="X45" s="342"/>
      <c r="Y45" s="331"/>
      <c r="Z45" s="343"/>
      <c r="AA45" s="344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45"/>
      <c r="AO45" s="336"/>
      <c r="AP45" s="336"/>
      <c r="AQ45" s="336"/>
      <c r="AR45" s="336"/>
      <c r="AS45" s="336"/>
      <c r="AT45" s="346"/>
      <c r="AU45" s="346"/>
      <c r="AV45" s="341"/>
      <c r="AW45" s="341"/>
      <c r="AX45" s="26"/>
      <c r="AY45" s="26"/>
      <c r="AZ45" s="26"/>
      <c r="BA45" s="26"/>
      <c r="BB45" s="1"/>
      <c r="BC45" s="6"/>
      <c r="BD45" s="6"/>
      <c r="BE45" s="6"/>
      <c r="BG45" s="1"/>
    </row>
    <row r="46" spans="1:104" x14ac:dyDescent="0.3">
      <c r="A46" s="11"/>
      <c r="B46" s="47"/>
      <c r="C46" s="6"/>
      <c r="D46" s="6"/>
      <c r="E46" s="12"/>
      <c r="F46" s="329"/>
      <c r="G46" s="329"/>
      <c r="H46" s="341"/>
      <c r="I46" s="341"/>
      <c r="J46" s="336"/>
      <c r="K46" s="341"/>
      <c r="L46" s="336"/>
      <c r="M46" s="341"/>
      <c r="N46" s="341"/>
      <c r="O46" s="336"/>
      <c r="P46" s="341"/>
      <c r="Q46" s="336"/>
      <c r="R46" s="336"/>
      <c r="S46" s="336"/>
      <c r="T46" s="341"/>
      <c r="U46" s="341"/>
      <c r="V46" s="341"/>
      <c r="W46" s="341"/>
      <c r="X46" s="342"/>
      <c r="Y46" s="331"/>
      <c r="Z46" s="343"/>
      <c r="AA46" s="344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45"/>
      <c r="AO46" s="336"/>
      <c r="AP46" s="336"/>
      <c r="AQ46" s="336"/>
      <c r="AR46" s="336"/>
      <c r="AS46" s="336"/>
      <c r="AT46" s="346"/>
      <c r="AU46" s="346"/>
      <c r="AV46" s="341"/>
      <c r="AW46" s="341"/>
      <c r="AX46" s="26"/>
      <c r="AY46" s="26"/>
      <c r="AZ46" s="26"/>
      <c r="BA46" s="26"/>
      <c r="BB46" s="1"/>
      <c r="BC46" s="6"/>
      <c r="BD46" s="6"/>
      <c r="BE46" s="6"/>
      <c r="BG46" s="1"/>
    </row>
    <row r="47" spans="1:104" x14ac:dyDescent="0.3">
      <c r="A47" s="11"/>
      <c r="B47" s="47"/>
      <c r="C47" s="6"/>
      <c r="D47" s="6"/>
      <c r="E47" s="12"/>
      <c r="F47" s="329"/>
      <c r="G47" s="329"/>
      <c r="H47" s="341"/>
      <c r="I47" s="341"/>
      <c r="J47" s="336"/>
      <c r="K47" s="341"/>
      <c r="L47" s="336"/>
      <c r="M47" s="341"/>
      <c r="N47" s="341"/>
      <c r="O47" s="336"/>
      <c r="P47" s="341"/>
      <c r="Q47" s="336"/>
      <c r="R47" s="336"/>
      <c r="S47" s="336"/>
      <c r="T47" s="341"/>
      <c r="U47" s="341"/>
      <c r="V47" s="341"/>
      <c r="W47" s="341"/>
      <c r="X47" s="342"/>
      <c r="Y47" s="331"/>
      <c r="Z47" s="343"/>
      <c r="AA47" s="344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45"/>
      <c r="AO47" s="336"/>
      <c r="AP47" s="336"/>
      <c r="AQ47" s="336"/>
      <c r="AR47" s="336"/>
      <c r="AS47" s="336"/>
      <c r="AT47" s="346"/>
      <c r="AU47" s="346"/>
      <c r="AV47" s="341"/>
      <c r="AW47" s="341"/>
      <c r="AX47" s="26"/>
      <c r="AY47" s="26"/>
      <c r="AZ47" s="26"/>
      <c r="BA47" s="26"/>
      <c r="BB47" s="1"/>
      <c r="BC47" s="6"/>
      <c r="BD47" s="6"/>
      <c r="BE47" s="6"/>
      <c r="BG47" s="1"/>
    </row>
  </sheetData>
  <sheetProtection algorithmName="SHA-512" hashValue="Ebi1pqQ1SGlEv5h3jh0PsmDZ56T6i3xxIrLbW7U19BPnk3cv5u7i+Z0qCxOEnM4GWQ8MqfqD/qWxoXx1eywNYA==" saltValue="vzrM8l8AaicPSXW4R0G3LA==" spinCount="100000" sheet="1" objects="1" scenarios="1" formatCells="0" selectLockedCells="1"/>
  <mergeCells count="26">
    <mergeCell ref="F42:I42"/>
    <mergeCell ref="F43:I43"/>
    <mergeCell ref="AX6:BA6"/>
    <mergeCell ref="F39:G41"/>
    <mergeCell ref="H39:I39"/>
    <mergeCell ref="T39:T41"/>
    <mergeCell ref="U39:V39"/>
    <mergeCell ref="H40:I40"/>
    <mergeCell ref="U40:V40"/>
    <mergeCell ref="H41:I41"/>
    <mergeCell ref="U41:V41"/>
    <mergeCell ref="H6:P6"/>
    <mergeCell ref="AA3:AA6"/>
    <mergeCell ref="AN6:AS6"/>
    <mergeCell ref="AT6:AU6"/>
    <mergeCell ref="AV6:AW6"/>
    <mergeCell ref="F6:F7"/>
    <mergeCell ref="AV39:AV41"/>
    <mergeCell ref="G6:G7"/>
    <mergeCell ref="AN2:AS4"/>
    <mergeCell ref="AT2:AU4"/>
    <mergeCell ref="E2:G2"/>
    <mergeCell ref="H2:I2"/>
    <mergeCell ref="E3:G3"/>
    <mergeCell ref="H3:I3"/>
    <mergeCell ref="E4:G4"/>
  </mergeCells>
  <conditionalFormatting sqref="B7:E7 B8:F39 B40:E41 B5:F6">
    <cfRule type="expression" dxfId="148" priority="17">
      <formula>AND($C5=0,NOT($C5=""))</formula>
    </cfRule>
  </conditionalFormatting>
  <conditionalFormatting sqref="B6:F6 B7:E7 BB6:BB41 B39:F39 B40:E41 H39:H41 J39:U39 J40:S41 U40:U41 W40:AU41 AW40:BA41 F41:G41 I41 T41 V41 AV41 B8:BA38 H6:BA7 B5:BA5 W39:BA39">
    <cfRule type="expression" dxfId="147" priority="18">
      <formula>AND($C5=0,NOT($C5=""))</formula>
    </cfRule>
  </conditionalFormatting>
  <conditionalFormatting sqref="G6 BC8:BC38">
    <cfRule type="expression" dxfId="146" priority="22">
      <formula>AND($C7=0,NOT($C7=""))</formula>
    </cfRule>
  </conditionalFormatting>
  <conditionalFormatting sqref="BC38:BC41">
    <cfRule type="expression" dxfId="145" priority="23">
      <formula>AND(#REF!=0,NOT(#REF!=""))</formula>
    </cfRule>
  </conditionalFormatting>
  <conditionalFormatting sqref="W8:X41 BC8:BD41">
    <cfRule type="expression" dxfId="144" priority="14">
      <formula>$BD8=3</formula>
    </cfRule>
    <cfRule type="expression" dxfId="143" priority="15">
      <formula>$BD8=2</formula>
    </cfRule>
  </conditionalFormatting>
  <conditionalFormatting sqref="W8:W41 BC8:BD41">
    <cfRule type="expression" dxfId="142" priority="16">
      <formula>$BD8=1</formula>
    </cfRule>
  </conditionalFormatting>
  <conditionalFormatting sqref="A8:BB38">
    <cfRule type="expression" dxfId="141" priority="13">
      <formula>$R$1=TRUE</formula>
    </cfRule>
  </conditionalFormatting>
  <conditionalFormatting sqref="B1:F4">
    <cfRule type="expression" dxfId="140" priority="7">
      <formula>AND($C1=0,NOT($C1=""))</formula>
    </cfRule>
  </conditionalFormatting>
  <conditionalFormatting sqref="B1:BA4">
    <cfRule type="expression" dxfId="139" priority="8">
      <formula>AND($C1=0,NOT($C1=""))</formula>
    </cfRule>
  </conditionalFormatting>
  <conditionalFormatting sqref="B42:F42">
    <cfRule type="expression" dxfId="138" priority="4">
      <formula>AND($C42=0,NOT($C42=""))</formula>
    </cfRule>
  </conditionalFormatting>
  <conditionalFormatting sqref="BB42">
    <cfRule type="expression" dxfId="137" priority="5">
      <formula>AND($C42=0,NOT($C42=""))</formula>
    </cfRule>
  </conditionalFormatting>
  <conditionalFormatting sqref="BC42">
    <cfRule type="expression" dxfId="136" priority="6">
      <formula>AND(#REF!=0,NOT(#REF!=""))</formula>
    </cfRule>
  </conditionalFormatting>
  <conditionalFormatting sqref="BC42:BD42">
    <cfRule type="expression" dxfId="135" priority="1">
      <formula>$BD42=3</formula>
    </cfRule>
    <cfRule type="expression" dxfId="134" priority="2">
      <formula>$BD42=2</formula>
    </cfRule>
  </conditionalFormatting>
  <conditionalFormatting sqref="BC42:BD42">
    <cfRule type="expression" dxfId="133" priority="3">
      <formula>$BD42=1</formula>
    </cfRule>
  </conditionalFormatting>
  <dataValidations count="2">
    <dataValidation type="list" allowBlank="1" showInputMessage="1" showErrorMessage="1" sqref="G8:G38">
      <formula1>Code_Liste</formula1>
    </dataValidation>
    <dataValidation type="time" allowBlank="1" showInputMessage="1" showErrorMessage="1" sqref="H8:I12 K8:K12">
      <formula1>$R$6</formula1>
      <formula2>$S$6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149B0C49-7548-4C6B-AF03-006FEE4E4A4F}">
            <xm:f>Voreinstellung_Übersicht!$R$14=3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21" stopIfTrue="1" id="{5E4E8E29-70A6-4672-8DD0-4C01D251DD2F}">
            <xm:f>Voreinstellung_Übersicht!$R$14=2</xm:f>
            <x14:dxf>
              <fill>
                <patternFill>
                  <bgColor rgb="FFFFC000"/>
                </patternFill>
              </fill>
            </x14:dxf>
          </x14:cfRule>
          <xm:sqref>W7:X41</xm:sqref>
        </x14:conditionalFormatting>
        <x14:conditionalFormatting xmlns:xm="http://schemas.microsoft.com/office/excel/2006/main">
          <x14:cfRule type="expression" priority="19" stopIfTrue="1" id="{D44CD7DA-2CF9-4BA1-AF8D-C861D680C57C}">
            <xm:f>Voreinstellung_Übersicht!$R$14=1</xm:f>
            <x14:dxf>
              <fill>
                <patternFill>
                  <bgColor theme="9" tint="0.59996337778862885"/>
                </patternFill>
              </fill>
            </x14:dxf>
          </x14:cfRule>
          <xm:sqref>W7:W41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8"/>
  <sheetViews>
    <sheetView zoomScale="80" zoomScaleNormal="80" workbookViewId="0">
      <selection activeCell="G8" sqref="G8"/>
    </sheetView>
  </sheetViews>
  <sheetFormatPr baseColWidth="10" defaultColWidth="11.42578125" defaultRowHeight="15.75" x14ac:dyDescent="0.3"/>
  <cols>
    <col min="1" max="1" width="5.5703125" customWidth="1"/>
    <col min="2" max="2" width="12.7109375" bestFit="1" customWidth="1"/>
    <col min="3" max="4" width="0" hidden="1" customWidth="1"/>
    <col min="5" max="5" width="15.7109375" style="242" customWidth="1"/>
    <col min="6" max="6" width="6.28515625" customWidth="1"/>
    <col min="7" max="7" width="6" customWidth="1"/>
    <col min="8" max="9" width="11.5703125" bestFit="1" customWidth="1"/>
    <col min="10" max="10" width="0" hidden="1" customWidth="1"/>
    <col min="11" max="11" width="11.42578125" customWidth="1"/>
    <col min="12" max="12" width="0" hidden="1" customWidth="1"/>
    <col min="13" max="14" width="11.5703125" bestFit="1" customWidth="1"/>
    <col min="15" max="15" width="0" hidden="1" customWidth="1"/>
    <col min="17" max="19" width="0" hidden="1" customWidth="1"/>
    <col min="20" max="21" width="11.5703125" bestFit="1" customWidth="1"/>
    <col min="24" max="24" width="25.7109375" customWidth="1"/>
    <col min="25" max="46" width="11.5703125" hidden="1" customWidth="1"/>
    <col min="47" max="47" width="11.42578125" hidden="1" customWidth="1"/>
    <col min="49" max="49" width="13.7109375" customWidth="1"/>
    <col min="53" max="53" width="13" customWidth="1"/>
    <col min="54" max="54" width="18.140625" customWidth="1"/>
    <col min="55" max="57" width="11.5703125" hidden="1" customWidth="1"/>
    <col min="58" max="58" width="11.5703125" style="1" hidden="1" customWidth="1"/>
  </cols>
  <sheetData>
    <row r="1" spans="1:58" s="1" customFormat="1" thickBot="1" x14ac:dyDescent="0.35">
      <c r="A1" s="26"/>
      <c r="B1" s="47"/>
      <c r="C1" s="6"/>
      <c r="D1" s="6"/>
      <c r="E1" s="12"/>
      <c r="F1" s="66"/>
      <c r="G1" s="66"/>
      <c r="H1" s="26"/>
      <c r="I1" s="26"/>
      <c r="J1" s="6"/>
      <c r="K1" s="26"/>
      <c r="L1" s="6"/>
      <c r="M1" s="26"/>
      <c r="N1" s="26"/>
      <c r="O1" s="6"/>
      <c r="P1" s="26"/>
      <c r="Q1" s="6" t="s">
        <v>123</v>
      </c>
      <c r="R1" s="315" t="b">
        <v>0</v>
      </c>
      <c r="S1" s="6"/>
      <c r="T1" s="26"/>
      <c r="U1" s="26"/>
      <c r="V1" s="26"/>
      <c r="W1" s="26"/>
      <c r="X1" s="48"/>
      <c r="Y1" s="7"/>
      <c r="Z1" s="8"/>
      <c r="AA1" s="17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3"/>
      <c r="AO1" s="6"/>
      <c r="AP1" s="6"/>
      <c r="AQ1" s="6"/>
      <c r="AR1" s="6"/>
      <c r="AS1" s="6"/>
      <c r="AT1" s="14"/>
      <c r="AU1" s="14"/>
      <c r="AV1" s="26"/>
      <c r="AW1" s="26"/>
      <c r="AX1" s="26"/>
      <c r="AY1" s="26"/>
      <c r="AZ1" s="26"/>
      <c r="BA1" s="26"/>
      <c r="BC1" s="6"/>
      <c r="BD1" s="6"/>
      <c r="BE1" s="6"/>
    </row>
    <row r="2" spans="1:58" s="1" customFormat="1" ht="16.5" customHeight="1" x14ac:dyDescent="0.3">
      <c r="A2" s="26"/>
      <c r="B2" s="71" t="s">
        <v>1</v>
      </c>
      <c r="C2" s="222" t="str">
        <f>Name</f>
        <v>Max Mustermann</v>
      </c>
      <c r="D2" s="222"/>
      <c r="E2" s="466" t="str">
        <f>C2</f>
        <v>Max Mustermann</v>
      </c>
      <c r="F2" s="466"/>
      <c r="G2" s="466"/>
      <c r="H2" s="471" t="s">
        <v>7</v>
      </c>
      <c r="I2" s="471"/>
      <c r="J2" s="222"/>
      <c r="K2" s="69">
        <f>Personalnummer</f>
        <v>123456789</v>
      </c>
      <c r="L2" s="219"/>
      <c r="M2" s="26"/>
      <c r="N2" s="26"/>
      <c r="O2" s="219"/>
      <c r="P2" s="26"/>
      <c r="Q2" s="219"/>
      <c r="R2" s="219"/>
      <c r="S2" s="219"/>
      <c r="T2" s="26"/>
      <c r="U2" s="26"/>
      <c r="V2" s="26"/>
      <c r="W2" s="26"/>
      <c r="X2" s="48"/>
      <c r="Y2" s="221"/>
      <c r="Z2" s="295"/>
      <c r="AA2" s="296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474"/>
      <c r="AO2" s="474"/>
      <c r="AP2" s="474"/>
      <c r="AQ2" s="474"/>
      <c r="AR2" s="474"/>
      <c r="AS2" s="474"/>
      <c r="AT2" s="470" t="s">
        <v>124</v>
      </c>
      <c r="AU2" s="470"/>
      <c r="AV2" s="26"/>
      <c r="AW2" s="26"/>
      <c r="AX2" s="26"/>
      <c r="AY2" s="26"/>
      <c r="AZ2" s="26"/>
      <c r="BA2" s="26"/>
      <c r="BB2" s="29"/>
      <c r="BC2" s="219"/>
      <c r="BD2" s="219"/>
      <c r="BE2" s="219"/>
    </row>
    <row r="3" spans="1:58" s="1" customFormat="1" ht="16.5" customHeight="1" x14ac:dyDescent="0.3">
      <c r="A3" s="26"/>
      <c r="B3" s="72" t="s">
        <v>125</v>
      </c>
      <c r="C3" s="223">
        <f>Jahr</f>
        <v>42004</v>
      </c>
      <c r="D3" s="223"/>
      <c r="E3" s="468">
        <f>Jahr</f>
        <v>42004</v>
      </c>
      <c r="F3" s="468"/>
      <c r="G3" s="468"/>
      <c r="H3" s="472" t="s">
        <v>5</v>
      </c>
      <c r="I3" s="472"/>
      <c r="J3" s="224"/>
      <c r="K3" s="70">
        <f>Geburtstag</f>
        <v>16833</v>
      </c>
      <c r="L3" s="219"/>
      <c r="M3" s="26"/>
      <c r="N3" s="26"/>
      <c r="O3" s="219"/>
      <c r="P3" s="26"/>
      <c r="Q3" s="219"/>
      <c r="R3" s="219"/>
      <c r="S3" s="219"/>
      <c r="T3" s="26"/>
      <c r="U3" s="26"/>
      <c r="V3" s="26"/>
      <c r="W3" s="26"/>
      <c r="X3" s="48"/>
      <c r="Y3" s="221"/>
      <c r="Z3" s="295"/>
      <c r="AA3" s="475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474"/>
      <c r="AO3" s="474"/>
      <c r="AP3" s="474"/>
      <c r="AQ3" s="474"/>
      <c r="AR3" s="474"/>
      <c r="AS3" s="474"/>
      <c r="AT3" s="470"/>
      <c r="AU3" s="470"/>
      <c r="AV3" s="26"/>
      <c r="AW3" s="26"/>
      <c r="AX3" s="26"/>
      <c r="AY3" s="26"/>
      <c r="AZ3" s="26"/>
      <c r="BA3" s="26"/>
      <c r="BB3" s="29"/>
      <c r="BC3" s="219"/>
      <c r="BD3" s="219"/>
      <c r="BE3" s="219"/>
    </row>
    <row r="4" spans="1:58" s="1" customFormat="1" ht="16.5" customHeight="1" thickBot="1" x14ac:dyDescent="0.35">
      <c r="A4" s="26"/>
      <c r="B4" s="322" t="s">
        <v>126</v>
      </c>
      <c r="C4" s="323">
        <f>Jahr</f>
        <v>42004</v>
      </c>
      <c r="D4" s="323"/>
      <c r="E4" s="467">
        <f>B8</f>
        <v>42185</v>
      </c>
      <c r="F4" s="467"/>
      <c r="G4" s="467"/>
      <c r="H4" s="324"/>
      <c r="I4" s="324"/>
      <c r="J4" s="325"/>
      <c r="K4" s="326"/>
      <c r="L4" s="219"/>
      <c r="M4" s="26"/>
      <c r="N4" s="26"/>
      <c r="O4" s="219"/>
      <c r="P4" s="26"/>
      <c r="Q4" s="219"/>
      <c r="R4" s="219"/>
      <c r="S4" s="219"/>
      <c r="T4" s="26"/>
      <c r="U4" s="26"/>
      <c r="V4" s="26"/>
      <c r="W4" s="26"/>
      <c r="X4" s="48"/>
      <c r="Y4" s="221"/>
      <c r="Z4" s="295"/>
      <c r="AA4" s="475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474"/>
      <c r="AO4" s="474"/>
      <c r="AP4" s="474"/>
      <c r="AQ4" s="474"/>
      <c r="AR4" s="474"/>
      <c r="AS4" s="474"/>
      <c r="AT4" s="470"/>
      <c r="AU4" s="470"/>
      <c r="AV4" s="26"/>
      <c r="AW4" s="26"/>
      <c r="AX4" s="26"/>
      <c r="AY4" s="26"/>
      <c r="AZ4" s="26"/>
      <c r="BA4" s="26"/>
      <c r="BB4" s="29"/>
      <c r="BC4" s="219"/>
      <c r="BD4" s="219"/>
      <c r="BE4" s="219"/>
    </row>
    <row r="5" spans="1:58" s="1" customFormat="1" ht="15" x14ac:dyDescent="0.3">
      <c r="A5" s="26"/>
      <c r="B5" s="73"/>
      <c r="C5" s="225"/>
      <c r="D5" s="225"/>
      <c r="E5" s="67"/>
      <c r="F5" s="67"/>
      <c r="G5" s="67"/>
      <c r="H5" s="68"/>
      <c r="I5" s="68"/>
      <c r="J5" s="226"/>
      <c r="K5" s="68"/>
      <c r="L5" s="219"/>
      <c r="M5" s="26"/>
      <c r="N5" s="26"/>
      <c r="O5" s="219"/>
      <c r="P5" s="26"/>
      <c r="Q5" s="219"/>
      <c r="R5" s="219"/>
      <c r="S5" s="219"/>
      <c r="T5" s="26"/>
      <c r="U5" s="26"/>
      <c r="V5" s="26"/>
      <c r="W5" s="26"/>
      <c r="X5" s="48"/>
      <c r="Y5" s="221"/>
      <c r="Z5" s="295"/>
      <c r="AA5" s="475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73"/>
      <c r="AO5" s="273"/>
      <c r="AP5" s="273"/>
      <c r="AQ5" s="273"/>
      <c r="AR5" s="273"/>
      <c r="AS5" s="273"/>
      <c r="AT5" s="272"/>
      <c r="AU5" s="272"/>
      <c r="AV5" s="26"/>
      <c r="AW5" s="26"/>
      <c r="AX5" s="26"/>
      <c r="AY5" s="26"/>
      <c r="AZ5" s="26"/>
      <c r="BA5" s="26"/>
      <c r="BB5" s="29"/>
      <c r="BC5" s="219"/>
      <c r="BD5" s="219"/>
      <c r="BE5" s="219"/>
    </row>
    <row r="6" spans="1:58" s="1" customFormat="1" ht="27.6" customHeight="1" x14ac:dyDescent="0.3">
      <c r="A6" s="227"/>
      <c r="B6" s="86"/>
      <c r="C6" s="228" t="s">
        <v>127</v>
      </c>
      <c r="D6" s="228" t="s">
        <v>81</v>
      </c>
      <c r="E6" s="297"/>
      <c r="F6" s="465" t="s">
        <v>128</v>
      </c>
      <c r="G6" s="476" t="s">
        <v>129</v>
      </c>
      <c r="H6" s="462" t="s">
        <v>130</v>
      </c>
      <c r="I6" s="464"/>
      <c r="J6" s="464"/>
      <c r="K6" s="464"/>
      <c r="L6" s="464"/>
      <c r="M6" s="464"/>
      <c r="N6" s="464"/>
      <c r="O6" s="464"/>
      <c r="P6" s="464"/>
      <c r="Q6" s="228" t="s">
        <v>131</v>
      </c>
      <c r="R6" s="228">
        <v>0</v>
      </c>
      <c r="S6" s="228">
        <v>1</v>
      </c>
      <c r="T6" s="84"/>
      <c r="U6" s="84"/>
      <c r="V6" s="84"/>
      <c r="W6" s="85"/>
      <c r="X6" s="291"/>
      <c r="Y6" s="221"/>
      <c r="Z6" s="295"/>
      <c r="AA6" s="475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473" t="s">
        <v>82</v>
      </c>
      <c r="AO6" s="473"/>
      <c r="AP6" s="473"/>
      <c r="AQ6" s="473"/>
      <c r="AR6" s="473"/>
      <c r="AS6" s="473"/>
      <c r="AT6" s="469" t="s">
        <v>70</v>
      </c>
      <c r="AU6" s="469"/>
      <c r="AV6" s="462" t="s">
        <v>105</v>
      </c>
      <c r="AW6" s="463"/>
      <c r="AX6" s="462" t="s">
        <v>132</v>
      </c>
      <c r="AY6" s="464"/>
      <c r="AZ6" s="464"/>
      <c r="BA6" s="465"/>
      <c r="BB6" s="211" t="s">
        <v>133</v>
      </c>
      <c r="BC6" s="219" t="s">
        <v>134</v>
      </c>
      <c r="BD6" s="219"/>
      <c r="BE6" s="219"/>
    </row>
    <row r="7" spans="1:58" s="290" customFormat="1" ht="39" customHeight="1" x14ac:dyDescent="0.25">
      <c r="A7" s="279" t="s">
        <v>135</v>
      </c>
      <c r="B7" s="274" t="s">
        <v>80</v>
      </c>
      <c r="C7" s="281"/>
      <c r="D7" s="281"/>
      <c r="E7" s="241" t="s">
        <v>136</v>
      </c>
      <c r="F7" s="478"/>
      <c r="G7" s="477"/>
      <c r="H7" s="275" t="s">
        <v>137</v>
      </c>
      <c r="I7" s="276" t="s">
        <v>138</v>
      </c>
      <c r="J7" s="282" t="s">
        <v>139</v>
      </c>
      <c r="K7" s="277" t="s">
        <v>140</v>
      </c>
      <c r="L7" s="281" t="s">
        <v>141</v>
      </c>
      <c r="M7" s="275" t="s">
        <v>142</v>
      </c>
      <c r="N7" s="276" t="s">
        <v>143</v>
      </c>
      <c r="O7" s="282" t="s">
        <v>144</v>
      </c>
      <c r="P7" s="277" t="s">
        <v>145</v>
      </c>
      <c r="Q7" s="281" t="s">
        <v>146</v>
      </c>
      <c r="R7" s="281" t="s">
        <v>147</v>
      </c>
      <c r="S7" s="281" t="s">
        <v>148</v>
      </c>
      <c r="T7" s="211" t="s">
        <v>149</v>
      </c>
      <c r="U7" s="211" t="s">
        <v>150</v>
      </c>
      <c r="V7" s="275" t="s">
        <v>151</v>
      </c>
      <c r="W7" s="278" t="s">
        <v>152</v>
      </c>
      <c r="X7" s="278" t="s">
        <v>153</v>
      </c>
      <c r="Y7" s="283" t="s">
        <v>154</v>
      </c>
      <c r="Z7" s="284" t="s">
        <v>155</v>
      </c>
      <c r="AA7" s="285" t="s">
        <v>134</v>
      </c>
      <c r="AB7" s="286" t="s">
        <v>49</v>
      </c>
      <c r="AC7" s="286" t="s">
        <v>59</v>
      </c>
      <c r="AD7" s="286" t="s">
        <v>57</v>
      </c>
      <c r="AE7" s="286" t="s">
        <v>55</v>
      </c>
      <c r="AF7" s="286" t="s">
        <v>156</v>
      </c>
      <c r="AG7" s="286" t="s">
        <v>157</v>
      </c>
      <c r="AH7" s="286" t="s">
        <v>61</v>
      </c>
      <c r="AI7" s="286" t="s">
        <v>65</v>
      </c>
      <c r="AJ7" s="286" t="s">
        <v>74</v>
      </c>
      <c r="AK7" s="286" t="s">
        <v>76</v>
      </c>
      <c r="AL7" s="286" t="s">
        <v>158</v>
      </c>
      <c r="AM7" s="286" t="s">
        <v>78</v>
      </c>
      <c r="AN7" s="287" t="s">
        <v>159</v>
      </c>
      <c r="AO7" s="286" t="s">
        <v>160</v>
      </c>
      <c r="AP7" s="286" t="s">
        <v>81</v>
      </c>
      <c r="AQ7" s="286" t="s">
        <v>161</v>
      </c>
      <c r="AR7" s="286" t="s">
        <v>162</v>
      </c>
      <c r="AS7" s="286" t="s">
        <v>39</v>
      </c>
      <c r="AT7" s="288" t="s">
        <v>163</v>
      </c>
      <c r="AU7" s="288" t="s">
        <v>164</v>
      </c>
      <c r="AV7" s="279" t="s">
        <v>165</v>
      </c>
      <c r="AW7" s="280" t="s">
        <v>166</v>
      </c>
      <c r="AX7" s="279" t="s">
        <v>38</v>
      </c>
      <c r="AY7" s="241" t="s">
        <v>39</v>
      </c>
      <c r="AZ7" s="241" t="s">
        <v>81</v>
      </c>
      <c r="BA7" s="280" t="s">
        <v>167</v>
      </c>
      <c r="BB7" s="280" t="s">
        <v>167</v>
      </c>
      <c r="BC7" s="289" t="s">
        <v>165</v>
      </c>
      <c r="BD7" s="289" t="s">
        <v>168</v>
      </c>
      <c r="BE7" s="289" t="s">
        <v>169</v>
      </c>
      <c r="BF7" s="290" t="s">
        <v>170</v>
      </c>
    </row>
    <row r="8" spans="1:58" s="1" customFormat="1" ht="15" x14ac:dyDescent="0.3">
      <c r="A8" s="218">
        <f t="shared" ref="A8:A38" si="0">WEEKNUM(B8)</f>
        <v>27</v>
      </c>
      <c r="B8" s="47">
        <f>Jun!B37+1</f>
        <v>42185</v>
      </c>
      <c r="C8" s="219">
        <f t="shared" ref="C8:C38" si="1">NETWORKDAYS(B8,B8,Feiertage)</f>
        <v>1</v>
      </c>
      <c r="D8" s="220" t="str">
        <f t="shared" ref="D8:D38" si="2">IF(ISERROR(VLOOKUP(B8,Feiertage_ganz,4,FALSE)),"",(VLOOKUP(B8,Feiertage_ganz,4,FALSE)))</f>
        <v/>
      </c>
      <c r="E8" s="298" t="str">
        <f t="shared" ref="E8:E38" si="3">D8</f>
        <v/>
      </c>
      <c r="F8" s="87">
        <f t="shared" ref="F8:F38" si="4">B8</f>
        <v>42185</v>
      </c>
      <c r="G8" s="147"/>
      <c r="H8" s="214"/>
      <c r="I8" s="75"/>
      <c r="J8" s="221">
        <f t="shared" ref="J8:J38" si="5">I8-H8</f>
        <v>0</v>
      </c>
      <c r="K8" s="76"/>
      <c r="L8" s="221">
        <f>IF(J8-K8&gt;Pause_9,Pause_9p,IF(J8-K8&gt;Pause_6,Pause_6p,0))</f>
        <v>0</v>
      </c>
      <c r="M8" s="74"/>
      <c r="N8" s="75"/>
      <c r="O8" s="221">
        <f t="shared" ref="O8:O38" si="6">N8-M8</f>
        <v>0</v>
      </c>
      <c r="P8" s="76"/>
      <c r="Q8" s="221">
        <f>IF(O8-P8&gt;Pause_9,Pause_9p,IF(O8-P8&gt;Pause_6,Pause_6p,0))</f>
        <v>0</v>
      </c>
      <c r="R8" s="221">
        <f>IF(J8+O8-K8-P8&gt;Pause_9,Pause_9p,IF(J8+O8-K8-P8&gt;Pause_6,Pause_6p,0))</f>
        <v>0</v>
      </c>
      <c r="S8" s="221">
        <f t="shared" ref="S8:S38" si="7">IF(M8&gt;I8,IF(M8-I8+K8+P8&gt;=R8,K8+P8,R8),IF(K8+P8&gt;=R8,K8+P8,R8))</f>
        <v>0</v>
      </c>
      <c r="T8" s="79">
        <f t="shared" ref="T8:T38" si="8">IF(I8&lt;=M8,I8-H8+N8-M8,IF(I8&lt;=N8,N8-H8,I8-H8))</f>
        <v>0</v>
      </c>
      <c r="U8" s="79">
        <f>ROUND(T8-S8,10)</f>
        <v>0</v>
      </c>
      <c r="V8" s="80">
        <f t="shared" ref="V8:V38" ca="1" si="9">ROUND(IF(AND(D8&lt;&gt;"",G8=""),IF(ISERROR(VLOOKUP(B8,Feiertage,3,FALSE)),0,Z8),IF(B8="",0,IF(G8&lt;&gt;"",IF(UPPER(G8)=VLOOKUP(UPPER(G8),Code,1,FALSE),VLOOKUP(G8,Code,2,FALSE)*Z8,Z8),Z8))),10)</f>
        <v>0.33333333329999998</v>
      </c>
      <c r="W8" s="249" t="str">
        <f t="shared" ref="W8:W38" ca="1" si="10">IF(OR(AND(VLOOKUP(UPPER(G8),Code,3,FALSE)=2,U8&gt;V8),AND(I8&lt;&gt;0,B8&lt;&gt;"",G8=""),VLOOKUP(UPPER(G8),Code,3,FALSE)=1),U8-V8,"")</f>
        <v/>
      </c>
      <c r="X8" s="292"/>
      <c r="Y8" s="221">
        <f t="shared" ref="Y8:Y38" si="11">IF(G8&lt;&gt;"",IF(VLOOKUP(G8,Code,2,FALSE)=2,U8,IF(AND(VLOOKUP(G8,Code,2,FALSE)=1,U8&gt;Z8),U8,0)),0)</f>
        <v>0</v>
      </c>
      <c r="Z8" s="299">
        <f ca="1">IF(B8="","",INDIRECT(ADDRESS(MATCH(B8,Soll_AZ,1)+MATCH("Arbeitszeit 1 ab",Voreinstellung_Übersicht!B:B,0)-1,WEEKDAY(B8,2)+4,,,"Voreinstellung_Übersicht"),TRUE))</f>
        <v>0.33333333333333331</v>
      </c>
      <c r="AA8" s="300">
        <f ca="1">IF(W8="",Übertrag_Mehrarbeit,Übertrag_Mehrarbeit+W8)</f>
        <v>0</v>
      </c>
      <c r="AB8" s="219">
        <f t="shared" ref="AB8:AB38" si="12">IF(AND($G8&lt;&gt;0,IF(ISERROR(VLOOKUP($G8,Code,1,FALSE)),FALSE,VLOOKUP($G8,Code,1,FALSE)="U"),$C8=1),1,0)</f>
        <v>0</v>
      </c>
      <c r="AC8" s="219">
        <f t="shared" ref="AC8:AC38" si="13">IF(AND($G8&lt;&gt;0,IF(ISERROR(VLOOKUP($G8,Code,1,FALSE)),FALSE,VLOOKUP($G8,Code,1,FALSE))="WB"),1,0)</f>
        <v>0</v>
      </c>
      <c r="AD8" s="219">
        <f t="shared" ref="AD8:AD38" si="14">IF(AND($G8&lt;&gt;0,IF(ISERROR(VLOOKUP($G8,Code,1,FALSE)),FALSE,VLOOKUP($G8,Code,1,FALSE))="DR",$C8=1),1,0)</f>
        <v>0</v>
      </c>
      <c r="AE8" s="219">
        <f t="shared" ref="AE8:AE38" si="15">IF(AND($G8&lt;&gt;0,IF(ISERROR(VLOOKUP($G8,Code,1,FALSE)),FALSE,VLOOKUP($G8,Code,1,FALSE))="KK",$C8=1),1,0)</f>
        <v>0</v>
      </c>
      <c r="AF8" s="219">
        <f t="shared" ref="AF8:AF38" si="16">IF(AND($G8&lt;&gt;0,IF(ISERROR(VLOOKUP($G8,Code,1,FALSE)),FALSE,VLOOKUP($G8,Code,1,FALSE))="K",$C8=1),1,0)</f>
        <v>0</v>
      </c>
      <c r="AG8" s="219">
        <f t="shared" ref="AG8:AG38" si="17">IF(AND($G8&lt;&gt;0,IF(ISERROR(VLOOKUP($G8,Code,1,FALSE)),FALSE,VLOOKUP($G8,Code,1,FALSE))="KZT"),1,0)</f>
        <v>0</v>
      </c>
      <c r="AH8" s="219">
        <f t="shared" ref="AH8:AH38" si="18">IF(AND($G8&lt;&gt;0,IF(ISERROR(VLOOKUP($G8,Code,1,FALSE)),FALSE,VLOOKUP($G8,Code,1,FALSE))="mEG",$C8=1),1,0)</f>
        <v>0</v>
      </c>
      <c r="AI8" s="219">
        <f t="shared" ref="AI8:AI38" si="19">IF(AND($G8&lt;&gt;0,IF(ISERROR(VLOOKUP($G8,Code,1,FALSE)),FALSE,VLOOKUP($G8,Code,1,FALSE))="Ku"),1,0)</f>
        <v>0</v>
      </c>
      <c r="AJ8" s="219">
        <f t="shared" ref="AJ8:AJ38" si="20">IF(AND($G8&lt;&gt;0,IF(ISERROR(VLOOKUP($G8,Code,1,FALSE)),FALSE,VLOOKUP($G8,Code,1,FALSE))="§29(1)",$C8=1),1,0)</f>
        <v>0</v>
      </c>
      <c r="AK8" s="219">
        <f t="shared" ref="AK8:AK38" si="21">IF(AND($G8&lt;&gt;0,IF(ISERROR(VLOOKUP($G8,Code,1,FALSE)),FALSE,VLOOKUP($G8,Code,1,FALSE))="§29(2)",$C8=1),1,0)</f>
        <v>0</v>
      </c>
      <c r="AL8" s="219">
        <f t="shared" ref="AL8:AL38" si="22">IF(AND($G8&lt;&gt;0,IF(ISERROR(VLOOKUP($G8,Code,1,FALSE)),FALSE,VLOOKUP($G8,Code,1,FALSE))="§29(3)",$C8=1),1,0)</f>
        <v>0</v>
      </c>
      <c r="AM8" s="219">
        <f t="shared" ref="AM8:AM38" si="23">IF(AND($G8&lt;&gt;0,IF(ISERROR(VLOOKUP($G8,Code,1,FALSE)),FALSE,VLOOKUP($G8,Code,1,FALSE))="§29(4)",$C8=1),1,0)</f>
        <v>0</v>
      </c>
      <c r="AN8" s="301">
        <f t="shared" ref="AN8:AN38" si="24">IF(OR(AND(H8&lt;Nacht_6,I8-K8&lt;=Nacht_6),AND(I8&gt;Nacht_22,H8+K8&gt;=Nacht_22)),I8-H8-K8,IF(H8&lt;Nacht_6,IF(I8&gt;Nacht_22,Nacht_6-H8+I8-Nacht_22,Nacht_6-H8),IF(I8&gt;Nacht_22,I8-Nacht_22,0)))</f>
        <v>0</v>
      </c>
      <c r="AO8" s="301">
        <f t="shared" ref="AO8:AO38" si="25">IF(OR(AND(M8&lt;Nacht_6,N8-P8&lt;=Nacht_6),AND(N8&gt;Nacht_22,M8+P8&gt;=Nacht_22)),N8-M8-P8,IF(M8&lt;Nacht_6,IF(N8&gt;Nacht_22,Nacht_6-M8+N8-Nacht_22,Nacht_6-M8),IF(N8&gt;Nacht_22,N8-Nacht_22,0)))</f>
        <v>0</v>
      </c>
      <c r="AP8" s="301">
        <f t="shared" ref="AP8:AP38" si="26">IF(ISERROR(VLOOKUP(B8,Feiertage_ganz,3,FALSE)),0,IF(VLOOKUP(B8,Feiertage_ganz,3,FALSE)=1,U8,0))</f>
        <v>0</v>
      </c>
      <c r="AQ8" s="301">
        <f t="shared" ref="AQ8:AQ38" si="27">IF(OR(I8&lt;=Samstagszuschlag,H8&gt;=Nacht_22),0,IF(H8&lt;=Samstagszuschlag,IF(I8&lt;=Nacht_22,I8-Samstagszuschlag,Nacht_22-Samstagszuschlag),IF(I8&lt;=Nacht_22,I8-H8,Nacht_22-H8)))</f>
        <v>0</v>
      </c>
      <c r="AR8" s="301">
        <f t="shared" ref="AR8:AR38" si="28">IF(OR(N8&lt;=Samstagszuschlag,M8&lt;=Nacht_22),0,IF(M8&lt;=Samstagszuschlag,IF(N8&lt;=Nacht_22,N8-Samstagszuschlag,Nacht_22-Samstagszuschlag),IF(N8&lt;=Nacht_22,N8-M8,Nacht_22-M8)))</f>
        <v>0</v>
      </c>
      <c r="AS8" s="301">
        <f t="shared" ref="AS8:AS38" si="29">IF(WEEKDAY(B8,2)=7,U8,0)</f>
        <v>0</v>
      </c>
      <c r="AT8" s="302">
        <f t="shared" ref="AT8:AT38" si="30">IF(ISERROR(VLOOKUP(G8,Code_Liste,1,FALSE)),0,I8-H8)</f>
        <v>0</v>
      </c>
      <c r="AU8" s="302">
        <f t="shared" ref="AU8:AU38" si="31">IF(ISERROR(VLOOKUP(G8,Code_Liste,1,FALSE)),0,N8-M8)</f>
        <v>0</v>
      </c>
      <c r="AV8" s="81">
        <f t="shared" ref="AV8:AV38" si="32">SUM(AN8:AO8)</f>
        <v>0</v>
      </c>
      <c r="AW8" s="82">
        <f t="shared" ref="AW8:AW38" si="33">AV8*Zuschlag_Nacht/100</f>
        <v>0</v>
      </c>
      <c r="AX8" s="81">
        <f t="shared" ref="AX8:AX38" si="34">IF(WEEKDAY(B8,2)=6,AQ8+AR8,0)</f>
        <v>0</v>
      </c>
      <c r="AY8" s="83">
        <f t="shared" ref="AY8:AY38" si="35">AS8</f>
        <v>0</v>
      </c>
      <c r="AZ8" s="83">
        <f t="shared" ref="AZ8:AZ38" si="36">AP8</f>
        <v>0</v>
      </c>
      <c r="BA8" s="82">
        <f>IF(OR(B8=Feiertage!$A$16,B8=Feiertage!$A$19),U8*Zuschläge_24_31/100,IF(AZ8&gt;0,AZ8*Feiertag_mit/100,IF(AX8&gt;0,AX8*Zuschläge_Sa/100,IF(AY8&gt;0,AY8*Zuschlag_So/100,0))))</f>
        <v>0</v>
      </c>
      <c r="BB8" s="82">
        <f>IF(AND(B8&lt;&gt;0,G8=Voreinstellung_Übersicht!$D$41),IF(EG=1,W8*Über_klein/100,IF(EG=2,W8*Über_groß/100,"Fehler")),0)</f>
        <v>0</v>
      </c>
      <c r="BC8" s="299">
        <f ca="1">Jun!BC39</f>
        <v>0</v>
      </c>
      <c r="BD8" s="219">
        <f t="shared" ref="BD8:BD38" ca="1" si="37">IF(OR(AND(BC8&gt;=0,BC8&lt;=(grün_plus*BE8/100%)),AND(BC8&lt;=0,BC8&gt;=(grün_minus*BE8/100%))),1,IF(OR(AND(BC8&gt;0,BC8&lt;=(gelb_plus*BE8/100%)),AND(BC8&lt;0,BC8&gt;=(gelb_minus*BE8/100%))),2,3))</f>
        <v>1</v>
      </c>
      <c r="BE8" s="303">
        <f ca="1">IF(B8="","",INDIRECT(ADDRESS(MATCH(B8,Soll_AZ,1)+MATCH("Arbeitszeit 1 ab",Voreinstellung_Übersicht!B:B,0)-1,4,,,"Voreinstellung_Übersicht"),TRUE))</f>
        <v>1.6666666666666665</v>
      </c>
      <c r="BF8" s="1">
        <f>IF(OR(G8="WB",G8="DR",U8&gt;0),1,0)</f>
        <v>0</v>
      </c>
    </row>
    <row r="9" spans="1:58" s="1" customFormat="1" ht="15" x14ac:dyDescent="0.3">
      <c r="A9" s="218">
        <f t="shared" si="0"/>
        <v>27</v>
      </c>
      <c r="B9" s="47">
        <f t="shared" ref="B9:B38" si="38">B8+1</f>
        <v>42186</v>
      </c>
      <c r="C9" s="219">
        <f t="shared" si="1"/>
        <v>1</v>
      </c>
      <c r="D9" s="220" t="str">
        <f t="shared" si="2"/>
        <v/>
      </c>
      <c r="E9" s="298" t="str">
        <f t="shared" si="3"/>
        <v/>
      </c>
      <c r="F9" s="87">
        <f t="shared" si="4"/>
        <v>42186</v>
      </c>
      <c r="G9" s="147"/>
      <c r="H9" s="74"/>
      <c r="I9" s="75"/>
      <c r="J9" s="221">
        <f t="shared" si="5"/>
        <v>0</v>
      </c>
      <c r="K9" s="76"/>
      <c r="L9" s="221">
        <f>IF(J9-K9&gt;Pause_9,Pause_9p,IF(J9-K9&gt;Pause_6,Pause_6p,0))</f>
        <v>0</v>
      </c>
      <c r="M9" s="74"/>
      <c r="N9" s="75"/>
      <c r="O9" s="221">
        <f t="shared" si="6"/>
        <v>0</v>
      </c>
      <c r="P9" s="76"/>
      <c r="Q9" s="221">
        <f>IF(O9-P9&gt;Pause_9,Pause_9p,IF(O9-P9&gt;Pause_6,Pause_6p,0))</f>
        <v>0</v>
      </c>
      <c r="R9" s="221">
        <f>IF(J9+O9-K9-P9&gt;Pause_9,Pause_9p,IF(J9+O9-K9-P9&gt;Pause_6,Pause_6p,0))</f>
        <v>0</v>
      </c>
      <c r="S9" s="221">
        <f t="shared" si="7"/>
        <v>0</v>
      </c>
      <c r="T9" s="79">
        <f t="shared" si="8"/>
        <v>0</v>
      </c>
      <c r="U9" s="79">
        <f t="shared" ref="U9:U38" si="39">ROUND(T9-S9,10)</f>
        <v>0</v>
      </c>
      <c r="V9" s="80">
        <f t="shared" ca="1" si="9"/>
        <v>0.33333333329999998</v>
      </c>
      <c r="W9" s="249" t="str">
        <f t="shared" ca="1" si="10"/>
        <v/>
      </c>
      <c r="X9" s="293"/>
      <c r="Y9" s="221">
        <f t="shared" si="11"/>
        <v>0</v>
      </c>
      <c r="Z9" s="299">
        <f ca="1">IF(B9="","",INDIRECT(ADDRESS(MATCH(B9,Soll_AZ,1)+MATCH("Arbeitszeit 1 ab",Voreinstellung_Übersicht!B:B,0)-1,WEEKDAY(B9,2)+4,,,"Voreinstellung_Übersicht"),TRUE))</f>
        <v>0.33333333333333331</v>
      </c>
      <c r="AA9" s="300">
        <f t="shared" ref="AA9:AA38" ca="1" si="40">IF(W9="",AA8,AA8+W9)</f>
        <v>0</v>
      </c>
      <c r="AB9" s="219">
        <f t="shared" si="12"/>
        <v>0</v>
      </c>
      <c r="AC9" s="219">
        <f t="shared" si="13"/>
        <v>0</v>
      </c>
      <c r="AD9" s="219">
        <f t="shared" si="14"/>
        <v>0</v>
      </c>
      <c r="AE9" s="219">
        <f t="shared" si="15"/>
        <v>0</v>
      </c>
      <c r="AF9" s="219">
        <f t="shared" si="16"/>
        <v>0</v>
      </c>
      <c r="AG9" s="219">
        <f t="shared" si="17"/>
        <v>0</v>
      </c>
      <c r="AH9" s="219">
        <f t="shared" si="18"/>
        <v>0</v>
      </c>
      <c r="AI9" s="219">
        <f t="shared" si="19"/>
        <v>0</v>
      </c>
      <c r="AJ9" s="219">
        <f t="shared" si="20"/>
        <v>0</v>
      </c>
      <c r="AK9" s="219">
        <f t="shared" si="21"/>
        <v>0</v>
      </c>
      <c r="AL9" s="219">
        <f t="shared" si="22"/>
        <v>0</v>
      </c>
      <c r="AM9" s="219">
        <f t="shared" si="23"/>
        <v>0</v>
      </c>
      <c r="AN9" s="301">
        <f t="shared" si="24"/>
        <v>0</v>
      </c>
      <c r="AO9" s="301">
        <f t="shared" si="25"/>
        <v>0</v>
      </c>
      <c r="AP9" s="301">
        <f t="shared" si="26"/>
        <v>0</v>
      </c>
      <c r="AQ9" s="301">
        <f t="shared" si="27"/>
        <v>0</v>
      </c>
      <c r="AR9" s="301">
        <f t="shared" si="28"/>
        <v>0</v>
      </c>
      <c r="AS9" s="301">
        <f t="shared" si="29"/>
        <v>0</v>
      </c>
      <c r="AT9" s="302">
        <f t="shared" si="30"/>
        <v>0</v>
      </c>
      <c r="AU9" s="302">
        <f t="shared" si="31"/>
        <v>0</v>
      </c>
      <c r="AV9" s="81">
        <f t="shared" si="32"/>
        <v>0</v>
      </c>
      <c r="AW9" s="82">
        <f t="shared" si="33"/>
        <v>0</v>
      </c>
      <c r="AX9" s="81">
        <f t="shared" si="34"/>
        <v>0</v>
      </c>
      <c r="AY9" s="83">
        <f t="shared" si="35"/>
        <v>0</v>
      </c>
      <c r="AZ9" s="83">
        <f t="shared" si="36"/>
        <v>0</v>
      </c>
      <c r="BA9" s="82">
        <f>IF(OR(B9=Feiertage!$A$16,B9=Feiertage!$A$19),U9*Zuschläge_24_31/100,IF(AZ9&gt;0,AZ9*Feiertag_mit/100,IF(AX9&gt;0,AX9*Zuschläge_Sa/100,IF(AY9&gt;0,AY9*Zuschlag_So/100,0))))</f>
        <v>0</v>
      </c>
      <c r="BB9" s="82">
        <f>IF(AND(B9&lt;&gt;0,G9=Voreinstellung_Übersicht!$D$41),IF(EG=1,W9*Über_klein/100,IF(EG=2,W9*Über_groß/100,"Fehler")),0)</f>
        <v>0</v>
      </c>
      <c r="BC9" s="299">
        <f t="shared" ref="BC9:BC38" ca="1" si="41">IF(W9="",BC8,BC8+W9)</f>
        <v>0</v>
      </c>
      <c r="BD9" s="219">
        <f t="shared" ca="1" si="37"/>
        <v>1</v>
      </c>
      <c r="BE9" s="303">
        <f ca="1">IF(B9="","",INDIRECT(ADDRESS(MATCH(B9,Soll_AZ,1)+MATCH("Arbeitszeit 1 ab",Voreinstellung_Übersicht!B:B,0)-1,4,,,"Voreinstellung_Übersicht"),TRUE))</f>
        <v>1.6666666666666665</v>
      </c>
      <c r="BF9" s="1">
        <f t="shared" ref="BF9:BF38" si="42">IF(OR(G9="WB",G9="DR",U9&gt;0),1,0)</f>
        <v>0</v>
      </c>
    </row>
    <row r="10" spans="1:58" s="1" customFormat="1" ht="15" x14ac:dyDescent="0.3">
      <c r="A10" s="218">
        <f t="shared" si="0"/>
        <v>27</v>
      </c>
      <c r="B10" s="47">
        <f t="shared" si="38"/>
        <v>42187</v>
      </c>
      <c r="C10" s="219">
        <f t="shared" si="1"/>
        <v>1</v>
      </c>
      <c r="D10" s="220" t="str">
        <f t="shared" si="2"/>
        <v/>
      </c>
      <c r="E10" s="298" t="str">
        <f t="shared" si="3"/>
        <v/>
      </c>
      <c r="F10" s="87">
        <f t="shared" si="4"/>
        <v>42187</v>
      </c>
      <c r="G10" s="147"/>
      <c r="H10" s="74"/>
      <c r="I10" s="75"/>
      <c r="J10" s="221">
        <f t="shared" si="5"/>
        <v>0</v>
      </c>
      <c r="K10" s="76"/>
      <c r="L10" s="221">
        <f>IF(J10-K10&gt;=Pause_9,Pause_9p,IF(J10-K10&gt;=Pause_6,Pause_6p,0))</f>
        <v>0</v>
      </c>
      <c r="M10" s="74"/>
      <c r="N10" s="75"/>
      <c r="O10" s="221">
        <f t="shared" si="6"/>
        <v>0</v>
      </c>
      <c r="P10" s="76"/>
      <c r="Q10" s="221">
        <f>IF(O10-P10&gt;Pause_9,Pause_9p,IF(O10-P10&gt;Pause_6,Pause_6p,0))</f>
        <v>0</v>
      </c>
      <c r="R10" s="221">
        <f>IF(J10+O10-K10-P10&gt;Pause_9,Pause_9p,IF(J10+O10-K10-P10&gt;Pause_6,Pause_6p,0))</f>
        <v>0</v>
      </c>
      <c r="S10" s="221">
        <f t="shared" si="7"/>
        <v>0</v>
      </c>
      <c r="T10" s="79">
        <f t="shared" si="8"/>
        <v>0</v>
      </c>
      <c r="U10" s="79">
        <f t="shared" si="39"/>
        <v>0</v>
      </c>
      <c r="V10" s="80">
        <f t="shared" ca="1" si="9"/>
        <v>0.33333333329999998</v>
      </c>
      <c r="W10" s="249" t="str">
        <f t="shared" ca="1" si="10"/>
        <v/>
      </c>
      <c r="X10" s="293"/>
      <c r="Y10" s="221">
        <f t="shared" si="11"/>
        <v>0</v>
      </c>
      <c r="Z10" s="299">
        <f ca="1">IF(B10="","",INDIRECT(ADDRESS(MATCH(B10,Soll_AZ,1)+MATCH("Arbeitszeit 1 ab",Voreinstellung_Übersicht!B:B,0)-1,WEEKDAY(B10,2)+4,,,"Voreinstellung_Übersicht"),TRUE))</f>
        <v>0.33333333333333331</v>
      </c>
      <c r="AA10" s="300">
        <f t="shared" ca="1" si="40"/>
        <v>0</v>
      </c>
      <c r="AB10" s="219">
        <f t="shared" si="12"/>
        <v>0</v>
      </c>
      <c r="AC10" s="219">
        <f t="shared" si="13"/>
        <v>0</v>
      </c>
      <c r="AD10" s="219">
        <f t="shared" si="14"/>
        <v>0</v>
      </c>
      <c r="AE10" s="219">
        <f t="shared" si="15"/>
        <v>0</v>
      </c>
      <c r="AF10" s="219">
        <f t="shared" si="16"/>
        <v>0</v>
      </c>
      <c r="AG10" s="219">
        <f t="shared" si="17"/>
        <v>0</v>
      </c>
      <c r="AH10" s="219">
        <f t="shared" si="18"/>
        <v>0</v>
      </c>
      <c r="AI10" s="219">
        <f t="shared" si="19"/>
        <v>0</v>
      </c>
      <c r="AJ10" s="219">
        <f t="shared" si="20"/>
        <v>0</v>
      </c>
      <c r="AK10" s="219">
        <f t="shared" si="21"/>
        <v>0</v>
      </c>
      <c r="AL10" s="219">
        <f t="shared" si="22"/>
        <v>0</v>
      </c>
      <c r="AM10" s="219">
        <f t="shared" si="23"/>
        <v>0</v>
      </c>
      <c r="AN10" s="301">
        <f t="shared" si="24"/>
        <v>0</v>
      </c>
      <c r="AO10" s="301">
        <f t="shared" si="25"/>
        <v>0</v>
      </c>
      <c r="AP10" s="301">
        <f t="shared" si="26"/>
        <v>0</v>
      </c>
      <c r="AQ10" s="301">
        <f t="shared" si="27"/>
        <v>0</v>
      </c>
      <c r="AR10" s="301">
        <f t="shared" si="28"/>
        <v>0</v>
      </c>
      <c r="AS10" s="301">
        <f t="shared" si="29"/>
        <v>0</v>
      </c>
      <c r="AT10" s="302">
        <f t="shared" si="30"/>
        <v>0</v>
      </c>
      <c r="AU10" s="302">
        <f t="shared" si="31"/>
        <v>0</v>
      </c>
      <c r="AV10" s="81">
        <f t="shared" si="32"/>
        <v>0</v>
      </c>
      <c r="AW10" s="82">
        <f t="shared" si="33"/>
        <v>0</v>
      </c>
      <c r="AX10" s="81">
        <f t="shared" si="34"/>
        <v>0</v>
      </c>
      <c r="AY10" s="83">
        <f t="shared" si="35"/>
        <v>0</v>
      </c>
      <c r="AZ10" s="83">
        <f t="shared" si="36"/>
        <v>0</v>
      </c>
      <c r="BA10" s="82">
        <f>IF(OR(B10=Feiertage!$A$16,B10=Feiertage!$A$19),U10*Zuschläge_24_31/100,IF(AZ10&gt;0,AZ10*Feiertag_mit/100,IF(AX10&gt;0,AX10*Zuschläge_Sa/100,IF(AY10&gt;0,AY10*Zuschlag_So/100,0))))</f>
        <v>0</v>
      </c>
      <c r="BB10" s="82">
        <f>IF(AND(B10&lt;&gt;0,G10=Voreinstellung_Übersicht!$D$41),IF(EG=1,W10*Über_klein/100,IF(EG=2,W10*Über_groß/100,"Fehler")),0)</f>
        <v>0</v>
      </c>
      <c r="BC10" s="299">
        <f t="shared" ca="1" si="41"/>
        <v>0</v>
      </c>
      <c r="BD10" s="219">
        <f t="shared" ca="1" si="37"/>
        <v>1</v>
      </c>
      <c r="BE10" s="303">
        <f ca="1">IF(B10="","",INDIRECT(ADDRESS(MATCH(B10,Soll_AZ,1)+MATCH("Arbeitszeit 1 ab",Voreinstellung_Übersicht!B:B,0)-1,4,,,"Voreinstellung_Übersicht"),TRUE))</f>
        <v>1.6666666666666665</v>
      </c>
      <c r="BF10" s="1">
        <f t="shared" si="42"/>
        <v>0</v>
      </c>
    </row>
    <row r="11" spans="1:58" s="1" customFormat="1" ht="15" x14ac:dyDescent="0.3">
      <c r="A11" s="218">
        <f t="shared" si="0"/>
        <v>27</v>
      </c>
      <c r="B11" s="47">
        <f t="shared" si="38"/>
        <v>42188</v>
      </c>
      <c r="C11" s="219">
        <f t="shared" si="1"/>
        <v>1</v>
      </c>
      <c r="D11" s="220" t="str">
        <f t="shared" si="2"/>
        <v/>
      </c>
      <c r="E11" s="298" t="str">
        <f t="shared" si="3"/>
        <v/>
      </c>
      <c r="F11" s="87">
        <f t="shared" si="4"/>
        <v>42188</v>
      </c>
      <c r="G11" s="147"/>
      <c r="H11" s="74"/>
      <c r="I11" s="75"/>
      <c r="J11" s="221">
        <f t="shared" si="5"/>
        <v>0</v>
      </c>
      <c r="K11" s="76"/>
      <c r="L11" s="221">
        <f>IF(J11-K11&gt;=Pause_9,Pause_9p,IF(J11-K11&gt;=Pause_6,Pause_6p,0))</f>
        <v>0</v>
      </c>
      <c r="M11" s="74"/>
      <c r="N11" s="75"/>
      <c r="O11" s="221">
        <f t="shared" si="6"/>
        <v>0</v>
      </c>
      <c r="P11" s="76"/>
      <c r="Q11" s="221">
        <f>IF(O11-P11&gt;Pause_9,Pause_9p,IF(O11-P11&gt;Pause_6,Pause_6p,0))</f>
        <v>0</v>
      </c>
      <c r="R11" s="221">
        <f>IF(J11+O11-K11-P11&gt;Pause_9,Pause_9p,IF(J11+O11-K11-P11&gt;Pause_6,Pause_6p,0))</f>
        <v>0</v>
      </c>
      <c r="S11" s="221">
        <f t="shared" si="7"/>
        <v>0</v>
      </c>
      <c r="T11" s="79">
        <f t="shared" si="8"/>
        <v>0</v>
      </c>
      <c r="U11" s="79">
        <f t="shared" si="39"/>
        <v>0</v>
      </c>
      <c r="V11" s="80">
        <f t="shared" ca="1" si="9"/>
        <v>0.33333333329999998</v>
      </c>
      <c r="W11" s="249" t="str">
        <f t="shared" ca="1" si="10"/>
        <v/>
      </c>
      <c r="X11" s="293"/>
      <c r="Y11" s="221">
        <f t="shared" si="11"/>
        <v>0</v>
      </c>
      <c r="Z11" s="299">
        <f ca="1">IF(B11="","",INDIRECT(ADDRESS(MATCH(B11,Soll_AZ,1)+MATCH("Arbeitszeit 1 ab",Voreinstellung_Übersicht!B:B,0)-1,WEEKDAY(B11,2)+4,,,"Voreinstellung_Übersicht"),TRUE))</f>
        <v>0.33333333333333331</v>
      </c>
      <c r="AA11" s="300">
        <f t="shared" ca="1" si="40"/>
        <v>0</v>
      </c>
      <c r="AB11" s="219">
        <f t="shared" si="12"/>
        <v>0</v>
      </c>
      <c r="AC11" s="219">
        <f t="shared" si="13"/>
        <v>0</v>
      </c>
      <c r="AD11" s="219">
        <f t="shared" si="14"/>
        <v>0</v>
      </c>
      <c r="AE11" s="219">
        <f t="shared" si="15"/>
        <v>0</v>
      </c>
      <c r="AF11" s="219">
        <f t="shared" si="16"/>
        <v>0</v>
      </c>
      <c r="AG11" s="219">
        <f t="shared" si="17"/>
        <v>0</v>
      </c>
      <c r="AH11" s="219">
        <f t="shared" si="18"/>
        <v>0</v>
      </c>
      <c r="AI11" s="219">
        <f t="shared" si="19"/>
        <v>0</v>
      </c>
      <c r="AJ11" s="219">
        <f t="shared" si="20"/>
        <v>0</v>
      </c>
      <c r="AK11" s="219">
        <f t="shared" si="21"/>
        <v>0</v>
      </c>
      <c r="AL11" s="219">
        <f t="shared" si="22"/>
        <v>0</v>
      </c>
      <c r="AM11" s="219">
        <f t="shared" si="23"/>
        <v>0</v>
      </c>
      <c r="AN11" s="301">
        <f t="shared" si="24"/>
        <v>0</v>
      </c>
      <c r="AO11" s="301">
        <f t="shared" si="25"/>
        <v>0</v>
      </c>
      <c r="AP11" s="301">
        <f t="shared" si="26"/>
        <v>0</v>
      </c>
      <c r="AQ11" s="301">
        <f t="shared" si="27"/>
        <v>0</v>
      </c>
      <c r="AR11" s="301">
        <f t="shared" si="28"/>
        <v>0</v>
      </c>
      <c r="AS11" s="301">
        <f t="shared" si="29"/>
        <v>0</v>
      </c>
      <c r="AT11" s="302">
        <f t="shared" si="30"/>
        <v>0</v>
      </c>
      <c r="AU11" s="302">
        <f t="shared" si="31"/>
        <v>0</v>
      </c>
      <c r="AV11" s="81">
        <f t="shared" si="32"/>
        <v>0</v>
      </c>
      <c r="AW11" s="82">
        <f t="shared" si="33"/>
        <v>0</v>
      </c>
      <c r="AX11" s="81">
        <f t="shared" si="34"/>
        <v>0</v>
      </c>
      <c r="AY11" s="83">
        <f t="shared" si="35"/>
        <v>0</v>
      </c>
      <c r="AZ11" s="83">
        <f t="shared" si="36"/>
        <v>0</v>
      </c>
      <c r="BA11" s="82">
        <f>IF(OR(B11=Feiertage!$A$16,B11=Feiertage!$A$19),U11*Zuschläge_24_31/100,IF(AZ11&gt;0,AZ11*Feiertag_mit/100,IF(AX11&gt;0,AX11*Zuschläge_Sa/100,IF(AY11&gt;0,AY11*Zuschlag_So/100,0))))</f>
        <v>0</v>
      </c>
      <c r="BB11" s="82">
        <f>IF(AND(B11&lt;&gt;0,G11=Voreinstellung_Übersicht!$D$41),IF(EG=1,W11*Über_klein/100,IF(EG=2,W11*Über_groß/100,"Fehler")),0)</f>
        <v>0</v>
      </c>
      <c r="BC11" s="299">
        <f t="shared" ca="1" si="41"/>
        <v>0</v>
      </c>
      <c r="BD11" s="219">
        <f t="shared" ca="1" si="37"/>
        <v>1</v>
      </c>
      <c r="BE11" s="303">
        <f ca="1">IF(B11="","",INDIRECT(ADDRESS(MATCH(B11,Soll_AZ,1)+MATCH("Arbeitszeit 1 ab",Voreinstellung_Übersicht!B:B,0)-1,4,,,"Voreinstellung_Übersicht"),TRUE))</f>
        <v>1.6666666666666665</v>
      </c>
      <c r="BF11" s="1">
        <f t="shared" si="42"/>
        <v>0</v>
      </c>
    </row>
    <row r="12" spans="1:58" s="1" customFormat="1" ht="15" x14ac:dyDescent="0.3">
      <c r="A12" s="218">
        <f t="shared" si="0"/>
        <v>27</v>
      </c>
      <c r="B12" s="47">
        <f t="shared" si="38"/>
        <v>42189</v>
      </c>
      <c r="C12" s="219">
        <f t="shared" si="1"/>
        <v>1</v>
      </c>
      <c r="D12" s="220" t="str">
        <f t="shared" si="2"/>
        <v/>
      </c>
      <c r="E12" s="298" t="str">
        <f t="shared" si="3"/>
        <v/>
      </c>
      <c r="F12" s="87">
        <f t="shared" si="4"/>
        <v>42189</v>
      </c>
      <c r="G12" s="147"/>
      <c r="H12" s="74"/>
      <c r="I12" s="75"/>
      <c r="J12" s="221">
        <f t="shared" si="5"/>
        <v>0</v>
      </c>
      <c r="K12" s="76"/>
      <c r="L12" s="221">
        <f t="shared" ref="L12:L38" si="43">IF(J12&gt;=Pause_9,Pause_9p,IF(J12&gt;=Pause_6,Pause_6p,0))</f>
        <v>0</v>
      </c>
      <c r="M12" s="74"/>
      <c r="N12" s="75"/>
      <c r="O12" s="221">
        <f t="shared" si="6"/>
        <v>0</v>
      </c>
      <c r="P12" s="76"/>
      <c r="Q12" s="221">
        <f t="shared" ref="Q12:Q38" si="44">IF(O12&gt;Pause_9,Pause_9p,IF(O12&gt;=Pause_6,Pause_6p,0))</f>
        <v>0</v>
      </c>
      <c r="R12" s="221">
        <f t="shared" ref="R12:R38" si="45">IF(J12+O12&gt;=Pause_9,Pause_9p,IF(J12+O12&gt;=Pause_6,Pause_6p,0))</f>
        <v>0</v>
      </c>
      <c r="S12" s="221">
        <f t="shared" si="7"/>
        <v>0</v>
      </c>
      <c r="T12" s="79">
        <f t="shared" si="8"/>
        <v>0</v>
      </c>
      <c r="U12" s="79">
        <f t="shared" si="39"/>
        <v>0</v>
      </c>
      <c r="V12" s="80">
        <f t="shared" ca="1" si="9"/>
        <v>0.33333333329999998</v>
      </c>
      <c r="W12" s="249" t="str">
        <f t="shared" ca="1" si="10"/>
        <v/>
      </c>
      <c r="X12" s="293"/>
      <c r="Y12" s="221">
        <f t="shared" si="11"/>
        <v>0</v>
      </c>
      <c r="Z12" s="299">
        <f ca="1">IF(B12="","",INDIRECT(ADDRESS(MATCH(B12,Soll_AZ,1)+MATCH("Arbeitszeit 1 ab",Voreinstellung_Übersicht!B:B,0)-1,WEEKDAY(B12,2)+4,,,"Voreinstellung_Übersicht"),TRUE))</f>
        <v>0.33333333333333331</v>
      </c>
      <c r="AA12" s="300">
        <f t="shared" ca="1" si="40"/>
        <v>0</v>
      </c>
      <c r="AB12" s="219">
        <f t="shared" si="12"/>
        <v>0</v>
      </c>
      <c r="AC12" s="219">
        <f t="shared" si="13"/>
        <v>0</v>
      </c>
      <c r="AD12" s="219">
        <f t="shared" si="14"/>
        <v>0</v>
      </c>
      <c r="AE12" s="219">
        <f t="shared" si="15"/>
        <v>0</v>
      </c>
      <c r="AF12" s="219">
        <f t="shared" si="16"/>
        <v>0</v>
      </c>
      <c r="AG12" s="219">
        <f t="shared" si="17"/>
        <v>0</v>
      </c>
      <c r="AH12" s="219">
        <f t="shared" si="18"/>
        <v>0</v>
      </c>
      <c r="AI12" s="219">
        <f t="shared" si="19"/>
        <v>0</v>
      </c>
      <c r="AJ12" s="219">
        <f t="shared" si="20"/>
        <v>0</v>
      </c>
      <c r="AK12" s="219">
        <f t="shared" si="21"/>
        <v>0</v>
      </c>
      <c r="AL12" s="219">
        <f t="shared" si="22"/>
        <v>0</v>
      </c>
      <c r="AM12" s="219">
        <f t="shared" si="23"/>
        <v>0</v>
      </c>
      <c r="AN12" s="301">
        <f t="shared" si="24"/>
        <v>0</v>
      </c>
      <c r="AO12" s="301">
        <f t="shared" si="25"/>
        <v>0</v>
      </c>
      <c r="AP12" s="301">
        <f t="shared" si="26"/>
        <v>0</v>
      </c>
      <c r="AQ12" s="301">
        <f t="shared" si="27"/>
        <v>0</v>
      </c>
      <c r="AR12" s="301">
        <f t="shared" si="28"/>
        <v>0</v>
      </c>
      <c r="AS12" s="301">
        <f t="shared" si="29"/>
        <v>0</v>
      </c>
      <c r="AT12" s="302">
        <f t="shared" si="30"/>
        <v>0</v>
      </c>
      <c r="AU12" s="302">
        <f t="shared" si="31"/>
        <v>0</v>
      </c>
      <c r="AV12" s="81">
        <f t="shared" si="32"/>
        <v>0</v>
      </c>
      <c r="AW12" s="82">
        <f t="shared" si="33"/>
        <v>0</v>
      </c>
      <c r="AX12" s="81">
        <f t="shared" si="34"/>
        <v>0</v>
      </c>
      <c r="AY12" s="83">
        <f t="shared" si="35"/>
        <v>0</v>
      </c>
      <c r="AZ12" s="83">
        <f t="shared" si="36"/>
        <v>0</v>
      </c>
      <c r="BA12" s="82">
        <f>IF(OR(B12=Feiertage!$A$16,B12=Feiertage!$A$19),U12*Zuschläge_24_31/100,IF(AZ12&gt;0,AZ12*Feiertag_mit/100,IF(AX12&gt;0,AX12*Zuschläge_Sa/100,IF(AY12&gt;0,AY12*Zuschlag_So/100,0))))</f>
        <v>0</v>
      </c>
      <c r="BB12" s="82">
        <f>IF(AND(B12&lt;&gt;0,G12=Voreinstellung_Übersicht!$D$41),IF(EG=1,W12*Über_klein/100,IF(EG=2,W12*Über_groß/100,"Fehler")),0)</f>
        <v>0</v>
      </c>
      <c r="BC12" s="299">
        <f t="shared" ca="1" si="41"/>
        <v>0</v>
      </c>
      <c r="BD12" s="219">
        <f t="shared" ca="1" si="37"/>
        <v>1</v>
      </c>
      <c r="BE12" s="303">
        <f ca="1">IF(B12="","",INDIRECT(ADDRESS(MATCH(B12,Soll_AZ,1)+MATCH("Arbeitszeit 1 ab",Voreinstellung_Übersicht!B:B,0)-1,4,,,"Voreinstellung_Übersicht"),TRUE))</f>
        <v>1.6666666666666665</v>
      </c>
      <c r="BF12" s="1">
        <f t="shared" si="42"/>
        <v>0</v>
      </c>
    </row>
    <row r="13" spans="1:58" s="1" customFormat="1" ht="15" x14ac:dyDescent="0.3">
      <c r="A13" s="218">
        <f t="shared" si="0"/>
        <v>27</v>
      </c>
      <c r="B13" s="47">
        <f t="shared" si="38"/>
        <v>42190</v>
      </c>
      <c r="C13" s="219">
        <f t="shared" si="1"/>
        <v>0</v>
      </c>
      <c r="D13" s="220" t="str">
        <f t="shared" si="2"/>
        <v/>
      </c>
      <c r="E13" s="298" t="str">
        <f t="shared" si="3"/>
        <v/>
      </c>
      <c r="F13" s="87">
        <f t="shared" si="4"/>
        <v>42190</v>
      </c>
      <c r="G13" s="147"/>
      <c r="H13" s="74"/>
      <c r="I13" s="75"/>
      <c r="J13" s="221">
        <f t="shared" si="5"/>
        <v>0</v>
      </c>
      <c r="K13" s="76"/>
      <c r="L13" s="221">
        <f t="shared" si="43"/>
        <v>0</v>
      </c>
      <c r="M13" s="74"/>
      <c r="N13" s="75"/>
      <c r="O13" s="221">
        <f t="shared" si="6"/>
        <v>0</v>
      </c>
      <c r="P13" s="76"/>
      <c r="Q13" s="221">
        <f t="shared" si="44"/>
        <v>0</v>
      </c>
      <c r="R13" s="221">
        <f t="shared" si="45"/>
        <v>0</v>
      </c>
      <c r="S13" s="221">
        <f t="shared" si="7"/>
        <v>0</v>
      </c>
      <c r="T13" s="79">
        <f t="shared" si="8"/>
        <v>0</v>
      </c>
      <c r="U13" s="79">
        <f t="shared" si="39"/>
        <v>0</v>
      </c>
      <c r="V13" s="80">
        <f t="shared" ca="1" si="9"/>
        <v>0</v>
      </c>
      <c r="W13" s="249" t="str">
        <f t="shared" ca="1" si="10"/>
        <v/>
      </c>
      <c r="X13" s="293"/>
      <c r="Y13" s="221">
        <f t="shared" si="11"/>
        <v>0</v>
      </c>
      <c r="Z13" s="299">
        <f ca="1">IF(B13="","",INDIRECT(ADDRESS(MATCH(B13,Soll_AZ,1)+MATCH("Arbeitszeit 1 ab",Voreinstellung_Übersicht!B:B,0)-1,WEEKDAY(B13,2)+4,,,"Voreinstellung_Übersicht"),TRUE))</f>
        <v>0</v>
      </c>
      <c r="AA13" s="300">
        <f t="shared" ca="1" si="40"/>
        <v>0</v>
      </c>
      <c r="AB13" s="219">
        <f t="shared" si="12"/>
        <v>0</v>
      </c>
      <c r="AC13" s="219">
        <f t="shared" si="13"/>
        <v>0</v>
      </c>
      <c r="AD13" s="219">
        <f t="shared" si="14"/>
        <v>0</v>
      </c>
      <c r="AE13" s="219">
        <f t="shared" si="15"/>
        <v>0</v>
      </c>
      <c r="AF13" s="219">
        <f t="shared" si="16"/>
        <v>0</v>
      </c>
      <c r="AG13" s="219">
        <f t="shared" si="17"/>
        <v>0</v>
      </c>
      <c r="AH13" s="219">
        <f t="shared" si="18"/>
        <v>0</v>
      </c>
      <c r="AI13" s="219">
        <f t="shared" si="19"/>
        <v>0</v>
      </c>
      <c r="AJ13" s="219">
        <f t="shared" si="20"/>
        <v>0</v>
      </c>
      <c r="AK13" s="219">
        <f t="shared" si="21"/>
        <v>0</v>
      </c>
      <c r="AL13" s="219">
        <f t="shared" si="22"/>
        <v>0</v>
      </c>
      <c r="AM13" s="219">
        <f t="shared" si="23"/>
        <v>0</v>
      </c>
      <c r="AN13" s="301">
        <f t="shared" si="24"/>
        <v>0</v>
      </c>
      <c r="AO13" s="301">
        <f t="shared" si="25"/>
        <v>0</v>
      </c>
      <c r="AP13" s="301">
        <f t="shared" si="26"/>
        <v>0</v>
      </c>
      <c r="AQ13" s="301">
        <f t="shared" si="27"/>
        <v>0</v>
      </c>
      <c r="AR13" s="301">
        <f t="shared" si="28"/>
        <v>0</v>
      </c>
      <c r="AS13" s="301">
        <f t="shared" si="29"/>
        <v>0</v>
      </c>
      <c r="AT13" s="302">
        <f t="shared" si="30"/>
        <v>0</v>
      </c>
      <c r="AU13" s="302">
        <f t="shared" si="31"/>
        <v>0</v>
      </c>
      <c r="AV13" s="81">
        <f t="shared" si="32"/>
        <v>0</v>
      </c>
      <c r="AW13" s="82">
        <f t="shared" si="33"/>
        <v>0</v>
      </c>
      <c r="AX13" s="81">
        <f t="shared" si="34"/>
        <v>0</v>
      </c>
      <c r="AY13" s="83">
        <f t="shared" si="35"/>
        <v>0</v>
      </c>
      <c r="AZ13" s="83">
        <f t="shared" si="36"/>
        <v>0</v>
      </c>
      <c r="BA13" s="82">
        <f>IF(OR(B13=Feiertage!$A$16,B13=Feiertage!$A$19),U13*Zuschläge_24_31/100,IF(AZ13&gt;0,AZ13*Feiertag_mit/100,IF(AX13&gt;0,AX13*Zuschläge_Sa/100,IF(AY13&gt;0,AY13*Zuschlag_So/100,0))))</f>
        <v>0</v>
      </c>
      <c r="BB13" s="82">
        <f>IF(AND(B13&lt;&gt;0,G13=Voreinstellung_Übersicht!$D$41),IF(EG=1,W13*Über_klein/100,IF(EG=2,W13*Über_groß/100,"Fehler")),0)</f>
        <v>0</v>
      </c>
      <c r="BC13" s="299">
        <f t="shared" ca="1" si="41"/>
        <v>0</v>
      </c>
      <c r="BD13" s="219">
        <f t="shared" ca="1" si="37"/>
        <v>1</v>
      </c>
      <c r="BE13" s="303">
        <f ca="1">IF(B13="","",INDIRECT(ADDRESS(MATCH(B13,Soll_AZ,1)+MATCH("Arbeitszeit 1 ab",Voreinstellung_Übersicht!B:B,0)-1,4,,,"Voreinstellung_Übersicht"),TRUE))</f>
        <v>1.6666666666666665</v>
      </c>
      <c r="BF13" s="1">
        <f t="shared" si="42"/>
        <v>0</v>
      </c>
    </row>
    <row r="14" spans="1:58" s="1" customFormat="1" ht="15" x14ac:dyDescent="0.3">
      <c r="A14" s="218">
        <f t="shared" si="0"/>
        <v>28</v>
      </c>
      <c r="B14" s="47">
        <f t="shared" si="38"/>
        <v>42191</v>
      </c>
      <c r="C14" s="219">
        <f t="shared" si="1"/>
        <v>0</v>
      </c>
      <c r="D14" s="220" t="str">
        <f t="shared" si="2"/>
        <v/>
      </c>
      <c r="E14" s="298" t="str">
        <f t="shared" si="3"/>
        <v/>
      </c>
      <c r="F14" s="87">
        <f t="shared" si="4"/>
        <v>42191</v>
      </c>
      <c r="G14" s="147"/>
      <c r="H14" s="74"/>
      <c r="I14" s="75"/>
      <c r="J14" s="221">
        <f t="shared" si="5"/>
        <v>0</v>
      </c>
      <c r="K14" s="76"/>
      <c r="L14" s="221">
        <f t="shared" si="43"/>
        <v>0</v>
      </c>
      <c r="M14" s="74"/>
      <c r="N14" s="75"/>
      <c r="O14" s="221">
        <f t="shared" si="6"/>
        <v>0</v>
      </c>
      <c r="P14" s="76"/>
      <c r="Q14" s="221">
        <f t="shared" si="44"/>
        <v>0</v>
      </c>
      <c r="R14" s="221">
        <f t="shared" si="45"/>
        <v>0</v>
      </c>
      <c r="S14" s="221">
        <f t="shared" si="7"/>
        <v>0</v>
      </c>
      <c r="T14" s="79">
        <f t="shared" si="8"/>
        <v>0</v>
      </c>
      <c r="U14" s="79">
        <f t="shared" si="39"/>
        <v>0</v>
      </c>
      <c r="V14" s="80">
        <f t="shared" ca="1" si="9"/>
        <v>0</v>
      </c>
      <c r="W14" s="249" t="str">
        <f t="shared" ca="1" si="10"/>
        <v/>
      </c>
      <c r="X14" s="293"/>
      <c r="Y14" s="221">
        <f t="shared" si="11"/>
        <v>0</v>
      </c>
      <c r="Z14" s="299">
        <f ca="1">IF(B14="","",INDIRECT(ADDRESS(MATCH(B14,Soll_AZ,1)+MATCH("Arbeitszeit 1 ab",Voreinstellung_Übersicht!B:B,0)-1,WEEKDAY(B14,2)+4,,,"Voreinstellung_Übersicht"),TRUE))</f>
        <v>0</v>
      </c>
      <c r="AA14" s="300">
        <f t="shared" ca="1" si="40"/>
        <v>0</v>
      </c>
      <c r="AB14" s="219">
        <f t="shared" si="12"/>
        <v>0</v>
      </c>
      <c r="AC14" s="219">
        <f t="shared" si="13"/>
        <v>0</v>
      </c>
      <c r="AD14" s="219">
        <f t="shared" si="14"/>
        <v>0</v>
      </c>
      <c r="AE14" s="219">
        <f t="shared" si="15"/>
        <v>0</v>
      </c>
      <c r="AF14" s="219">
        <f t="shared" si="16"/>
        <v>0</v>
      </c>
      <c r="AG14" s="219">
        <f t="shared" si="17"/>
        <v>0</v>
      </c>
      <c r="AH14" s="219">
        <f t="shared" si="18"/>
        <v>0</v>
      </c>
      <c r="AI14" s="219">
        <f t="shared" si="19"/>
        <v>0</v>
      </c>
      <c r="AJ14" s="219">
        <f t="shared" si="20"/>
        <v>0</v>
      </c>
      <c r="AK14" s="219">
        <f t="shared" si="21"/>
        <v>0</v>
      </c>
      <c r="AL14" s="219">
        <f t="shared" si="22"/>
        <v>0</v>
      </c>
      <c r="AM14" s="219">
        <f t="shared" si="23"/>
        <v>0</v>
      </c>
      <c r="AN14" s="301">
        <f t="shared" si="24"/>
        <v>0</v>
      </c>
      <c r="AO14" s="301">
        <f t="shared" si="25"/>
        <v>0</v>
      </c>
      <c r="AP14" s="301">
        <f t="shared" si="26"/>
        <v>0</v>
      </c>
      <c r="AQ14" s="301">
        <f t="shared" si="27"/>
        <v>0</v>
      </c>
      <c r="AR14" s="301">
        <f t="shared" si="28"/>
        <v>0</v>
      </c>
      <c r="AS14" s="301">
        <f t="shared" si="29"/>
        <v>0</v>
      </c>
      <c r="AT14" s="302">
        <f t="shared" si="30"/>
        <v>0</v>
      </c>
      <c r="AU14" s="302">
        <f t="shared" si="31"/>
        <v>0</v>
      </c>
      <c r="AV14" s="81">
        <f t="shared" si="32"/>
        <v>0</v>
      </c>
      <c r="AW14" s="82">
        <f t="shared" si="33"/>
        <v>0</v>
      </c>
      <c r="AX14" s="81">
        <f t="shared" si="34"/>
        <v>0</v>
      </c>
      <c r="AY14" s="83">
        <f t="shared" si="35"/>
        <v>0</v>
      </c>
      <c r="AZ14" s="83">
        <f t="shared" si="36"/>
        <v>0</v>
      </c>
      <c r="BA14" s="82">
        <f>IF(OR(B14=Feiertage!$A$16,B14=Feiertage!$A$19),U14*Zuschläge_24_31/100,IF(AZ14&gt;0,AZ14*Feiertag_mit/100,IF(AX14&gt;0,AX14*Zuschläge_Sa/100,IF(AY14&gt;0,AY14*Zuschlag_So/100,0))))</f>
        <v>0</v>
      </c>
      <c r="BB14" s="82">
        <f>IF(AND(B14&lt;&gt;0,G14=Voreinstellung_Übersicht!$D$41),IF(EG=1,W14*Über_klein/100,IF(EG=2,W14*Über_groß/100,"Fehler")),0)</f>
        <v>0</v>
      </c>
      <c r="BC14" s="299">
        <f t="shared" ca="1" si="41"/>
        <v>0</v>
      </c>
      <c r="BD14" s="219">
        <f t="shared" ca="1" si="37"/>
        <v>1</v>
      </c>
      <c r="BE14" s="303">
        <f ca="1">IF(B14="","",INDIRECT(ADDRESS(MATCH(B14,Soll_AZ,1)+MATCH("Arbeitszeit 1 ab",Voreinstellung_Übersicht!B:B,0)-1,4,,,"Voreinstellung_Übersicht"),TRUE))</f>
        <v>1.6666666666666665</v>
      </c>
      <c r="BF14" s="1">
        <f t="shared" si="42"/>
        <v>0</v>
      </c>
    </row>
    <row r="15" spans="1:58" s="1" customFormat="1" ht="15" x14ac:dyDescent="0.3">
      <c r="A15" s="218">
        <f t="shared" si="0"/>
        <v>28</v>
      </c>
      <c r="B15" s="47">
        <f t="shared" si="38"/>
        <v>42192</v>
      </c>
      <c r="C15" s="219">
        <f t="shared" si="1"/>
        <v>1</v>
      </c>
      <c r="D15" s="220" t="str">
        <f t="shared" si="2"/>
        <v/>
      </c>
      <c r="E15" s="298" t="str">
        <f t="shared" si="3"/>
        <v/>
      </c>
      <c r="F15" s="87">
        <f t="shared" si="4"/>
        <v>42192</v>
      </c>
      <c r="G15" s="147"/>
      <c r="H15" s="74"/>
      <c r="I15" s="75"/>
      <c r="J15" s="221">
        <f t="shared" si="5"/>
        <v>0</v>
      </c>
      <c r="K15" s="76"/>
      <c r="L15" s="221">
        <f t="shared" si="43"/>
        <v>0</v>
      </c>
      <c r="M15" s="74"/>
      <c r="N15" s="75"/>
      <c r="O15" s="221">
        <f t="shared" si="6"/>
        <v>0</v>
      </c>
      <c r="P15" s="76"/>
      <c r="Q15" s="221">
        <f t="shared" si="44"/>
        <v>0</v>
      </c>
      <c r="R15" s="221">
        <f t="shared" si="45"/>
        <v>0</v>
      </c>
      <c r="S15" s="221">
        <f t="shared" si="7"/>
        <v>0</v>
      </c>
      <c r="T15" s="79">
        <f t="shared" si="8"/>
        <v>0</v>
      </c>
      <c r="U15" s="79">
        <f t="shared" si="39"/>
        <v>0</v>
      </c>
      <c r="V15" s="80">
        <f t="shared" ca="1" si="9"/>
        <v>0.33333333329999998</v>
      </c>
      <c r="W15" s="249" t="str">
        <f t="shared" ca="1" si="10"/>
        <v/>
      </c>
      <c r="X15" s="293"/>
      <c r="Y15" s="221">
        <f t="shared" si="11"/>
        <v>0</v>
      </c>
      <c r="Z15" s="299">
        <f ca="1">IF(B15="","",INDIRECT(ADDRESS(MATCH(B15,Soll_AZ,1)+MATCH("Arbeitszeit 1 ab",Voreinstellung_Übersicht!B:B,0)-1,WEEKDAY(B15,2)+4,,,"Voreinstellung_Übersicht"),TRUE))</f>
        <v>0.33333333333333331</v>
      </c>
      <c r="AA15" s="300">
        <f t="shared" ca="1" si="40"/>
        <v>0</v>
      </c>
      <c r="AB15" s="219">
        <f t="shared" si="12"/>
        <v>0</v>
      </c>
      <c r="AC15" s="219">
        <f t="shared" si="13"/>
        <v>0</v>
      </c>
      <c r="AD15" s="219">
        <f t="shared" si="14"/>
        <v>0</v>
      </c>
      <c r="AE15" s="219">
        <f t="shared" si="15"/>
        <v>0</v>
      </c>
      <c r="AF15" s="219">
        <f t="shared" si="16"/>
        <v>0</v>
      </c>
      <c r="AG15" s="219">
        <f t="shared" si="17"/>
        <v>0</v>
      </c>
      <c r="AH15" s="219">
        <f t="shared" si="18"/>
        <v>0</v>
      </c>
      <c r="AI15" s="219">
        <f t="shared" si="19"/>
        <v>0</v>
      </c>
      <c r="AJ15" s="219">
        <f t="shared" si="20"/>
        <v>0</v>
      </c>
      <c r="AK15" s="219">
        <f t="shared" si="21"/>
        <v>0</v>
      </c>
      <c r="AL15" s="219">
        <f t="shared" si="22"/>
        <v>0</v>
      </c>
      <c r="AM15" s="219">
        <f t="shared" si="23"/>
        <v>0</v>
      </c>
      <c r="AN15" s="301">
        <f t="shared" si="24"/>
        <v>0</v>
      </c>
      <c r="AO15" s="301">
        <f t="shared" si="25"/>
        <v>0</v>
      </c>
      <c r="AP15" s="301">
        <f t="shared" si="26"/>
        <v>0</v>
      </c>
      <c r="AQ15" s="301">
        <f t="shared" si="27"/>
        <v>0</v>
      </c>
      <c r="AR15" s="301">
        <f t="shared" si="28"/>
        <v>0</v>
      </c>
      <c r="AS15" s="301">
        <f t="shared" si="29"/>
        <v>0</v>
      </c>
      <c r="AT15" s="302">
        <f t="shared" si="30"/>
        <v>0</v>
      </c>
      <c r="AU15" s="302">
        <f t="shared" si="31"/>
        <v>0</v>
      </c>
      <c r="AV15" s="81">
        <f t="shared" si="32"/>
        <v>0</v>
      </c>
      <c r="AW15" s="82">
        <f t="shared" si="33"/>
        <v>0</v>
      </c>
      <c r="AX15" s="81">
        <f t="shared" si="34"/>
        <v>0</v>
      </c>
      <c r="AY15" s="83">
        <f t="shared" si="35"/>
        <v>0</v>
      </c>
      <c r="AZ15" s="83">
        <f t="shared" si="36"/>
        <v>0</v>
      </c>
      <c r="BA15" s="82">
        <f>IF(OR(B15=Feiertage!$A$16,B15=Feiertage!$A$19),U15*Zuschläge_24_31/100,IF(AZ15&gt;0,AZ15*Feiertag_mit/100,IF(AX15&gt;0,AX15*Zuschläge_Sa/100,IF(AY15&gt;0,AY15*Zuschlag_So/100,0))))</f>
        <v>0</v>
      </c>
      <c r="BB15" s="82">
        <f>IF(AND(B15&lt;&gt;0,G15=Voreinstellung_Übersicht!$D$41),IF(EG=1,W15*Über_klein/100,IF(EG=2,W15*Über_groß/100,"Fehler")),0)</f>
        <v>0</v>
      </c>
      <c r="BC15" s="299">
        <f t="shared" ca="1" si="41"/>
        <v>0</v>
      </c>
      <c r="BD15" s="219">
        <f t="shared" ca="1" si="37"/>
        <v>1</v>
      </c>
      <c r="BE15" s="303">
        <f ca="1">IF(B15="","",INDIRECT(ADDRESS(MATCH(B15,Soll_AZ,1)+MATCH("Arbeitszeit 1 ab",Voreinstellung_Übersicht!B:B,0)-1,4,,,"Voreinstellung_Übersicht"),TRUE))</f>
        <v>1.6666666666666665</v>
      </c>
      <c r="BF15" s="1">
        <f t="shared" si="42"/>
        <v>0</v>
      </c>
    </row>
    <row r="16" spans="1:58" s="1" customFormat="1" ht="15" x14ac:dyDescent="0.3">
      <c r="A16" s="218">
        <f t="shared" si="0"/>
        <v>28</v>
      </c>
      <c r="B16" s="47">
        <f t="shared" si="38"/>
        <v>42193</v>
      </c>
      <c r="C16" s="219">
        <f t="shared" si="1"/>
        <v>1</v>
      </c>
      <c r="D16" s="220" t="str">
        <f t="shared" si="2"/>
        <v/>
      </c>
      <c r="E16" s="298" t="str">
        <f t="shared" si="3"/>
        <v/>
      </c>
      <c r="F16" s="87">
        <f t="shared" si="4"/>
        <v>42193</v>
      </c>
      <c r="G16" s="147"/>
      <c r="H16" s="74"/>
      <c r="I16" s="75"/>
      <c r="J16" s="221">
        <f t="shared" si="5"/>
        <v>0</v>
      </c>
      <c r="K16" s="76"/>
      <c r="L16" s="221">
        <f t="shared" si="43"/>
        <v>0</v>
      </c>
      <c r="M16" s="74"/>
      <c r="N16" s="75"/>
      <c r="O16" s="221">
        <f t="shared" si="6"/>
        <v>0</v>
      </c>
      <c r="P16" s="76"/>
      <c r="Q16" s="221">
        <f t="shared" si="44"/>
        <v>0</v>
      </c>
      <c r="R16" s="221">
        <f t="shared" si="45"/>
        <v>0</v>
      </c>
      <c r="S16" s="221">
        <f t="shared" si="7"/>
        <v>0</v>
      </c>
      <c r="T16" s="79">
        <f t="shared" si="8"/>
        <v>0</v>
      </c>
      <c r="U16" s="79">
        <f t="shared" si="39"/>
        <v>0</v>
      </c>
      <c r="V16" s="80">
        <f t="shared" ca="1" si="9"/>
        <v>0.33333333329999998</v>
      </c>
      <c r="W16" s="249" t="str">
        <f t="shared" ca="1" si="10"/>
        <v/>
      </c>
      <c r="X16" s="293"/>
      <c r="Y16" s="221">
        <f t="shared" si="11"/>
        <v>0</v>
      </c>
      <c r="Z16" s="299">
        <f ca="1">IF(B16="","",INDIRECT(ADDRESS(MATCH(B16,Soll_AZ,1)+MATCH("Arbeitszeit 1 ab",Voreinstellung_Übersicht!B:B,0)-1,WEEKDAY(B16,2)+4,,,"Voreinstellung_Übersicht"),TRUE))</f>
        <v>0.33333333333333331</v>
      </c>
      <c r="AA16" s="300">
        <f t="shared" ca="1" si="40"/>
        <v>0</v>
      </c>
      <c r="AB16" s="219">
        <f t="shared" si="12"/>
        <v>0</v>
      </c>
      <c r="AC16" s="219">
        <f t="shared" si="13"/>
        <v>0</v>
      </c>
      <c r="AD16" s="219">
        <f t="shared" si="14"/>
        <v>0</v>
      </c>
      <c r="AE16" s="219">
        <f t="shared" si="15"/>
        <v>0</v>
      </c>
      <c r="AF16" s="219">
        <f t="shared" si="16"/>
        <v>0</v>
      </c>
      <c r="AG16" s="219">
        <f t="shared" si="17"/>
        <v>0</v>
      </c>
      <c r="AH16" s="219">
        <f t="shared" si="18"/>
        <v>0</v>
      </c>
      <c r="AI16" s="219">
        <f t="shared" si="19"/>
        <v>0</v>
      </c>
      <c r="AJ16" s="219">
        <f t="shared" si="20"/>
        <v>0</v>
      </c>
      <c r="AK16" s="219">
        <f t="shared" si="21"/>
        <v>0</v>
      </c>
      <c r="AL16" s="219">
        <f t="shared" si="22"/>
        <v>0</v>
      </c>
      <c r="AM16" s="219">
        <f t="shared" si="23"/>
        <v>0</v>
      </c>
      <c r="AN16" s="301">
        <f t="shared" si="24"/>
        <v>0</v>
      </c>
      <c r="AO16" s="301">
        <f t="shared" si="25"/>
        <v>0</v>
      </c>
      <c r="AP16" s="301">
        <f t="shared" si="26"/>
        <v>0</v>
      </c>
      <c r="AQ16" s="301">
        <f t="shared" si="27"/>
        <v>0</v>
      </c>
      <c r="AR16" s="301">
        <f t="shared" si="28"/>
        <v>0</v>
      </c>
      <c r="AS16" s="301">
        <f t="shared" si="29"/>
        <v>0</v>
      </c>
      <c r="AT16" s="302">
        <f t="shared" si="30"/>
        <v>0</v>
      </c>
      <c r="AU16" s="302">
        <f t="shared" si="31"/>
        <v>0</v>
      </c>
      <c r="AV16" s="81">
        <f t="shared" si="32"/>
        <v>0</v>
      </c>
      <c r="AW16" s="82">
        <f t="shared" si="33"/>
        <v>0</v>
      </c>
      <c r="AX16" s="81">
        <f t="shared" si="34"/>
        <v>0</v>
      </c>
      <c r="AY16" s="83">
        <f t="shared" si="35"/>
        <v>0</v>
      </c>
      <c r="AZ16" s="83">
        <f t="shared" si="36"/>
        <v>0</v>
      </c>
      <c r="BA16" s="82">
        <f>IF(OR(B16=Feiertage!$A$16,B16=Feiertage!$A$19),U16*Zuschläge_24_31/100,IF(AZ16&gt;0,AZ16*Feiertag_mit/100,IF(AX16&gt;0,AX16*Zuschläge_Sa/100,IF(AY16&gt;0,AY16*Zuschlag_So/100,0))))</f>
        <v>0</v>
      </c>
      <c r="BB16" s="82">
        <f>IF(AND(B16&lt;&gt;0,G16=Voreinstellung_Übersicht!$D$41),IF(EG=1,W16*Über_klein/100,IF(EG=2,W16*Über_groß/100,"Fehler")),0)</f>
        <v>0</v>
      </c>
      <c r="BC16" s="299">
        <f t="shared" ca="1" si="41"/>
        <v>0</v>
      </c>
      <c r="BD16" s="219">
        <f t="shared" ca="1" si="37"/>
        <v>1</v>
      </c>
      <c r="BE16" s="303">
        <f ca="1">IF(B16="","",INDIRECT(ADDRESS(MATCH(B16,Soll_AZ,1)+MATCH("Arbeitszeit 1 ab",Voreinstellung_Übersicht!B:B,0)-1,4,,,"Voreinstellung_Übersicht"),TRUE))</f>
        <v>1.6666666666666665</v>
      </c>
      <c r="BF16" s="1">
        <f t="shared" si="42"/>
        <v>0</v>
      </c>
    </row>
    <row r="17" spans="1:58" s="1" customFormat="1" ht="15" x14ac:dyDescent="0.3">
      <c r="A17" s="218">
        <f t="shared" si="0"/>
        <v>28</v>
      </c>
      <c r="B17" s="47">
        <f t="shared" si="38"/>
        <v>42194</v>
      </c>
      <c r="C17" s="219">
        <f t="shared" si="1"/>
        <v>1</v>
      </c>
      <c r="D17" s="220" t="str">
        <f t="shared" si="2"/>
        <v/>
      </c>
      <c r="E17" s="298" t="str">
        <f t="shared" si="3"/>
        <v/>
      </c>
      <c r="F17" s="87">
        <f t="shared" si="4"/>
        <v>42194</v>
      </c>
      <c r="G17" s="147"/>
      <c r="H17" s="74"/>
      <c r="I17" s="75"/>
      <c r="J17" s="221">
        <f t="shared" si="5"/>
        <v>0</v>
      </c>
      <c r="K17" s="76"/>
      <c r="L17" s="221">
        <f t="shared" si="43"/>
        <v>0</v>
      </c>
      <c r="M17" s="74"/>
      <c r="N17" s="75"/>
      <c r="O17" s="221">
        <f t="shared" si="6"/>
        <v>0</v>
      </c>
      <c r="P17" s="76"/>
      <c r="Q17" s="221">
        <f t="shared" si="44"/>
        <v>0</v>
      </c>
      <c r="R17" s="221">
        <f t="shared" si="45"/>
        <v>0</v>
      </c>
      <c r="S17" s="221">
        <f t="shared" si="7"/>
        <v>0</v>
      </c>
      <c r="T17" s="79">
        <f t="shared" si="8"/>
        <v>0</v>
      </c>
      <c r="U17" s="79">
        <f t="shared" si="39"/>
        <v>0</v>
      </c>
      <c r="V17" s="80">
        <f t="shared" ca="1" si="9"/>
        <v>0.33333333329999998</v>
      </c>
      <c r="W17" s="249" t="str">
        <f t="shared" ca="1" si="10"/>
        <v/>
      </c>
      <c r="X17" s="293"/>
      <c r="Y17" s="221">
        <f t="shared" si="11"/>
        <v>0</v>
      </c>
      <c r="Z17" s="299">
        <f ca="1">IF(B17="","",INDIRECT(ADDRESS(MATCH(B17,Soll_AZ,1)+MATCH("Arbeitszeit 1 ab",Voreinstellung_Übersicht!B:B,0)-1,WEEKDAY(B17,2)+4,,,"Voreinstellung_Übersicht"),TRUE))</f>
        <v>0.33333333333333331</v>
      </c>
      <c r="AA17" s="300">
        <f t="shared" ca="1" si="40"/>
        <v>0</v>
      </c>
      <c r="AB17" s="219">
        <f t="shared" si="12"/>
        <v>0</v>
      </c>
      <c r="AC17" s="219">
        <f t="shared" si="13"/>
        <v>0</v>
      </c>
      <c r="AD17" s="219">
        <f t="shared" si="14"/>
        <v>0</v>
      </c>
      <c r="AE17" s="219">
        <f t="shared" si="15"/>
        <v>0</v>
      </c>
      <c r="AF17" s="219">
        <f t="shared" si="16"/>
        <v>0</v>
      </c>
      <c r="AG17" s="219">
        <f t="shared" si="17"/>
        <v>0</v>
      </c>
      <c r="AH17" s="219">
        <f t="shared" si="18"/>
        <v>0</v>
      </c>
      <c r="AI17" s="219">
        <f t="shared" si="19"/>
        <v>0</v>
      </c>
      <c r="AJ17" s="219">
        <f t="shared" si="20"/>
        <v>0</v>
      </c>
      <c r="AK17" s="219">
        <f t="shared" si="21"/>
        <v>0</v>
      </c>
      <c r="AL17" s="219">
        <f t="shared" si="22"/>
        <v>0</v>
      </c>
      <c r="AM17" s="219">
        <f t="shared" si="23"/>
        <v>0</v>
      </c>
      <c r="AN17" s="301">
        <f t="shared" si="24"/>
        <v>0</v>
      </c>
      <c r="AO17" s="301">
        <f t="shared" si="25"/>
        <v>0</v>
      </c>
      <c r="AP17" s="301">
        <f t="shared" si="26"/>
        <v>0</v>
      </c>
      <c r="AQ17" s="301">
        <f t="shared" si="27"/>
        <v>0</v>
      </c>
      <c r="AR17" s="301">
        <f t="shared" si="28"/>
        <v>0</v>
      </c>
      <c r="AS17" s="301">
        <f t="shared" si="29"/>
        <v>0</v>
      </c>
      <c r="AT17" s="302">
        <f t="shared" si="30"/>
        <v>0</v>
      </c>
      <c r="AU17" s="302">
        <f t="shared" si="31"/>
        <v>0</v>
      </c>
      <c r="AV17" s="81">
        <f t="shared" si="32"/>
        <v>0</v>
      </c>
      <c r="AW17" s="82">
        <f t="shared" si="33"/>
        <v>0</v>
      </c>
      <c r="AX17" s="81">
        <f t="shared" si="34"/>
        <v>0</v>
      </c>
      <c r="AY17" s="83">
        <f t="shared" si="35"/>
        <v>0</v>
      </c>
      <c r="AZ17" s="83">
        <f t="shared" si="36"/>
        <v>0</v>
      </c>
      <c r="BA17" s="82">
        <f>IF(OR(B17=Feiertage!$A$16,B17=Feiertage!$A$19),U17*Zuschläge_24_31/100,IF(AZ17&gt;0,AZ17*Feiertag_mit/100,IF(AX17&gt;0,AX17*Zuschläge_Sa/100,IF(AY17&gt;0,AY17*Zuschlag_So/100,0))))</f>
        <v>0</v>
      </c>
      <c r="BB17" s="82">
        <f>IF(AND(B17&lt;&gt;0,G17=Voreinstellung_Übersicht!$D$41),IF(EG=1,W17*Über_klein/100,IF(EG=2,W17*Über_groß/100,"Fehler")),0)</f>
        <v>0</v>
      </c>
      <c r="BC17" s="299">
        <f t="shared" ca="1" si="41"/>
        <v>0</v>
      </c>
      <c r="BD17" s="219">
        <f t="shared" ca="1" si="37"/>
        <v>1</v>
      </c>
      <c r="BE17" s="303">
        <f ca="1">IF(B17="","",INDIRECT(ADDRESS(MATCH(B17,Soll_AZ,1)+MATCH("Arbeitszeit 1 ab",Voreinstellung_Übersicht!B:B,0)-1,4,,,"Voreinstellung_Übersicht"),TRUE))</f>
        <v>1.6666666666666665</v>
      </c>
      <c r="BF17" s="1">
        <f t="shared" si="42"/>
        <v>0</v>
      </c>
    </row>
    <row r="18" spans="1:58" s="1" customFormat="1" ht="15" x14ac:dyDescent="0.3">
      <c r="A18" s="218">
        <f t="shared" si="0"/>
        <v>28</v>
      </c>
      <c r="B18" s="47">
        <f t="shared" si="38"/>
        <v>42195</v>
      </c>
      <c r="C18" s="219">
        <f t="shared" si="1"/>
        <v>1</v>
      </c>
      <c r="D18" s="220" t="str">
        <f t="shared" si="2"/>
        <v/>
      </c>
      <c r="E18" s="298" t="str">
        <f t="shared" si="3"/>
        <v/>
      </c>
      <c r="F18" s="87">
        <f t="shared" si="4"/>
        <v>42195</v>
      </c>
      <c r="G18" s="147"/>
      <c r="H18" s="74"/>
      <c r="I18" s="75"/>
      <c r="J18" s="221">
        <f t="shared" si="5"/>
        <v>0</v>
      </c>
      <c r="K18" s="76"/>
      <c r="L18" s="221">
        <f t="shared" si="43"/>
        <v>0</v>
      </c>
      <c r="M18" s="74"/>
      <c r="N18" s="75"/>
      <c r="O18" s="221">
        <f t="shared" si="6"/>
        <v>0</v>
      </c>
      <c r="P18" s="76"/>
      <c r="Q18" s="221">
        <f t="shared" si="44"/>
        <v>0</v>
      </c>
      <c r="R18" s="221">
        <f t="shared" si="45"/>
        <v>0</v>
      </c>
      <c r="S18" s="221">
        <f t="shared" si="7"/>
        <v>0</v>
      </c>
      <c r="T18" s="79">
        <f t="shared" si="8"/>
        <v>0</v>
      </c>
      <c r="U18" s="79">
        <f t="shared" si="39"/>
        <v>0</v>
      </c>
      <c r="V18" s="80">
        <f t="shared" ca="1" si="9"/>
        <v>0.33333333329999998</v>
      </c>
      <c r="W18" s="249" t="str">
        <f t="shared" ca="1" si="10"/>
        <v/>
      </c>
      <c r="X18" s="293"/>
      <c r="Y18" s="221">
        <f t="shared" si="11"/>
        <v>0</v>
      </c>
      <c r="Z18" s="299">
        <f ca="1">IF(B18="","",INDIRECT(ADDRESS(MATCH(B18,Soll_AZ,1)+MATCH("Arbeitszeit 1 ab",Voreinstellung_Übersicht!B:B,0)-1,WEEKDAY(B18,2)+4,,,"Voreinstellung_Übersicht"),TRUE))</f>
        <v>0.33333333333333331</v>
      </c>
      <c r="AA18" s="300">
        <f t="shared" ca="1" si="40"/>
        <v>0</v>
      </c>
      <c r="AB18" s="219">
        <f t="shared" si="12"/>
        <v>0</v>
      </c>
      <c r="AC18" s="219">
        <f t="shared" si="13"/>
        <v>0</v>
      </c>
      <c r="AD18" s="219">
        <f t="shared" si="14"/>
        <v>0</v>
      </c>
      <c r="AE18" s="219">
        <f t="shared" si="15"/>
        <v>0</v>
      </c>
      <c r="AF18" s="219">
        <f t="shared" si="16"/>
        <v>0</v>
      </c>
      <c r="AG18" s="219">
        <f t="shared" si="17"/>
        <v>0</v>
      </c>
      <c r="AH18" s="219">
        <f t="shared" si="18"/>
        <v>0</v>
      </c>
      <c r="AI18" s="219">
        <f t="shared" si="19"/>
        <v>0</v>
      </c>
      <c r="AJ18" s="219">
        <f t="shared" si="20"/>
        <v>0</v>
      </c>
      <c r="AK18" s="219">
        <f t="shared" si="21"/>
        <v>0</v>
      </c>
      <c r="AL18" s="219">
        <f t="shared" si="22"/>
        <v>0</v>
      </c>
      <c r="AM18" s="219">
        <f t="shared" si="23"/>
        <v>0</v>
      </c>
      <c r="AN18" s="301">
        <f t="shared" si="24"/>
        <v>0</v>
      </c>
      <c r="AO18" s="301">
        <f t="shared" si="25"/>
        <v>0</v>
      </c>
      <c r="AP18" s="301">
        <f t="shared" si="26"/>
        <v>0</v>
      </c>
      <c r="AQ18" s="301">
        <f t="shared" si="27"/>
        <v>0</v>
      </c>
      <c r="AR18" s="301">
        <f t="shared" si="28"/>
        <v>0</v>
      </c>
      <c r="AS18" s="301">
        <f t="shared" si="29"/>
        <v>0</v>
      </c>
      <c r="AT18" s="302">
        <f t="shared" si="30"/>
        <v>0</v>
      </c>
      <c r="AU18" s="302">
        <f t="shared" si="31"/>
        <v>0</v>
      </c>
      <c r="AV18" s="81">
        <f t="shared" si="32"/>
        <v>0</v>
      </c>
      <c r="AW18" s="82">
        <f t="shared" si="33"/>
        <v>0</v>
      </c>
      <c r="AX18" s="81">
        <f t="shared" si="34"/>
        <v>0</v>
      </c>
      <c r="AY18" s="83">
        <f t="shared" si="35"/>
        <v>0</v>
      </c>
      <c r="AZ18" s="83">
        <f t="shared" si="36"/>
        <v>0</v>
      </c>
      <c r="BA18" s="82">
        <f>IF(OR(B18=Feiertage!$A$16,B18=Feiertage!$A$19),U18*Zuschläge_24_31/100,IF(AZ18&gt;0,AZ18*Feiertag_mit/100,IF(AX18&gt;0,AX18*Zuschläge_Sa/100,IF(AY18&gt;0,AY18*Zuschlag_So/100,0))))</f>
        <v>0</v>
      </c>
      <c r="BB18" s="82">
        <f>IF(AND(B18&lt;&gt;0,G18=Voreinstellung_Übersicht!$D$41),IF(EG=1,W18*Über_klein/100,IF(EG=2,W18*Über_groß/100,"Fehler")),0)</f>
        <v>0</v>
      </c>
      <c r="BC18" s="299">
        <f t="shared" ca="1" si="41"/>
        <v>0</v>
      </c>
      <c r="BD18" s="219">
        <f t="shared" ca="1" si="37"/>
        <v>1</v>
      </c>
      <c r="BE18" s="303">
        <f ca="1">IF(B18="","",INDIRECT(ADDRESS(MATCH(B18,Soll_AZ,1)+MATCH("Arbeitszeit 1 ab",Voreinstellung_Übersicht!B:B,0)-1,4,,,"Voreinstellung_Übersicht"),TRUE))</f>
        <v>1.6666666666666665</v>
      </c>
      <c r="BF18" s="1">
        <f t="shared" si="42"/>
        <v>0</v>
      </c>
    </row>
    <row r="19" spans="1:58" s="1" customFormat="1" ht="15" x14ac:dyDescent="0.3">
      <c r="A19" s="218">
        <f t="shared" si="0"/>
        <v>28</v>
      </c>
      <c r="B19" s="47">
        <f t="shared" si="38"/>
        <v>42196</v>
      </c>
      <c r="C19" s="219">
        <f t="shared" si="1"/>
        <v>1</v>
      </c>
      <c r="D19" s="220" t="str">
        <f t="shared" si="2"/>
        <v/>
      </c>
      <c r="E19" s="298" t="str">
        <f t="shared" si="3"/>
        <v/>
      </c>
      <c r="F19" s="87">
        <f t="shared" si="4"/>
        <v>42196</v>
      </c>
      <c r="G19" s="147"/>
      <c r="H19" s="74"/>
      <c r="I19" s="75"/>
      <c r="J19" s="221">
        <f t="shared" si="5"/>
        <v>0</v>
      </c>
      <c r="K19" s="76"/>
      <c r="L19" s="221">
        <f t="shared" si="43"/>
        <v>0</v>
      </c>
      <c r="M19" s="74"/>
      <c r="N19" s="75"/>
      <c r="O19" s="221">
        <f t="shared" si="6"/>
        <v>0</v>
      </c>
      <c r="P19" s="76"/>
      <c r="Q19" s="221">
        <f t="shared" si="44"/>
        <v>0</v>
      </c>
      <c r="R19" s="221">
        <f t="shared" si="45"/>
        <v>0</v>
      </c>
      <c r="S19" s="221">
        <f t="shared" si="7"/>
        <v>0</v>
      </c>
      <c r="T19" s="79">
        <f t="shared" si="8"/>
        <v>0</v>
      </c>
      <c r="U19" s="79">
        <f t="shared" si="39"/>
        <v>0</v>
      </c>
      <c r="V19" s="80">
        <f t="shared" ca="1" si="9"/>
        <v>0.33333333329999998</v>
      </c>
      <c r="W19" s="249" t="str">
        <f t="shared" ca="1" si="10"/>
        <v/>
      </c>
      <c r="X19" s="293"/>
      <c r="Y19" s="221">
        <f t="shared" si="11"/>
        <v>0</v>
      </c>
      <c r="Z19" s="299">
        <f ca="1">IF(B19="","",INDIRECT(ADDRESS(MATCH(B19,Soll_AZ,1)+MATCH("Arbeitszeit 1 ab",Voreinstellung_Übersicht!B:B,0)-1,WEEKDAY(B19,2)+4,,,"Voreinstellung_Übersicht"),TRUE))</f>
        <v>0.33333333333333331</v>
      </c>
      <c r="AA19" s="300">
        <f t="shared" ca="1" si="40"/>
        <v>0</v>
      </c>
      <c r="AB19" s="219">
        <f t="shared" si="12"/>
        <v>0</v>
      </c>
      <c r="AC19" s="219">
        <f t="shared" si="13"/>
        <v>0</v>
      </c>
      <c r="AD19" s="219">
        <f t="shared" si="14"/>
        <v>0</v>
      </c>
      <c r="AE19" s="219">
        <f t="shared" si="15"/>
        <v>0</v>
      </c>
      <c r="AF19" s="219">
        <f t="shared" si="16"/>
        <v>0</v>
      </c>
      <c r="AG19" s="219">
        <f t="shared" si="17"/>
        <v>0</v>
      </c>
      <c r="AH19" s="219">
        <f t="shared" si="18"/>
        <v>0</v>
      </c>
      <c r="AI19" s="219">
        <f t="shared" si="19"/>
        <v>0</v>
      </c>
      <c r="AJ19" s="219">
        <f t="shared" si="20"/>
        <v>0</v>
      </c>
      <c r="AK19" s="219">
        <f t="shared" si="21"/>
        <v>0</v>
      </c>
      <c r="AL19" s="219">
        <f t="shared" si="22"/>
        <v>0</v>
      </c>
      <c r="AM19" s="219">
        <f t="shared" si="23"/>
        <v>0</v>
      </c>
      <c r="AN19" s="301">
        <f t="shared" si="24"/>
        <v>0</v>
      </c>
      <c r="AO19" s="301">
        <f t="shared" si="25"/>
        <v>0</v>
      </c>
      <c r="AP19" s="301">
        <f t="shared" si="26"/>
        <v>0</v>
      </c>
      <c r="AQ19" s="301">
        <f t="shared" si="27"/>
        <v>0</v>
      </c>
      <c r="AR19" s="301">
        <f t="shared" si="28"/>
        <v>0</v>
      </c>
      <c r="AS19" s="301">
        <f t="shared" si="29"/>
        <v>0</v>
      </c>
      <c r="AT19" s="302">
        <f t="shared" si="30"/>
        <v>0</v>
      </c>
      <c r="AU19" s="302">
        <f t="shared" si="31"/>
        <v>0</v>
      </c>
      <c r="AV19" s="81">
        <f t="shared" si="32"/>
        <v>0</v>
      </c>
      <c r="AW19" s="82">
        <f t="shared" si="33"/>
        <v>0</v>
      </c>
      <c r="AX19" s="81">
        <f t="shared" si="34"/>
        <v>0</v>
      </c>
      <c r="AY19" s="83">
        <f t="shared" si="35"/>
        <v>0</v>
      </c>
      <c r="AZ19" s="83">
        <f t="shared" si="36"/>
        <v>0</v>
      </c>
      <c r="BA19" s="82">
        <f>IF(OR(B19=Feiertage!$A$16,B19=Feiertage!$A$19),U19*Zuschläge_24_31/100,IF(AZ19&gt;0,AZ19*Feiertag_mit/100,IF(AX19&gt;0,AX19*Zuschläge_Sa/100,IF(AY19&gt;0,AY19*Zuschlag_So/100,0))))</f>
        <v>0</v>
      </c>
      <c r="BB19" s="82">
        <f>IF(AND(B19&lt;&gt;0,G19=Voreinstellung_Übersicht!$D$41),IF(EG=1,W19*Über_klein/100,IF(EG=2,W19*Über_groß/100,"Fehler")),0)</f>
        <v>0</v>
      </c>
      <c r="BC19" s="299">
        <f t="shared" ca="1" si="41"/>
        <v>0</v>
      </c>
      <c r="BD19" s="219">
        <f t="shared" ca="1" si="37"/>
        <v>1</v>
      </c>
      <c r="BE19" s="303">
        <f ca="1">IF(B19="","",INDIRECT(ADDRESS(MATCH(B19,Soll_AZ,1)+MATCH("Arbeitszeit 1 ab",Voreinstellung_Übersicht!B:B,0)-1,4,,,"Voreinstellung_Übersicht"),TRUE))</f>
        <v>1.6666666666666665</v>
      </c>
      <c r="BF19" s="1">
        <f t="shared" si="42"/>
        <v>0</v>
      </c>
    </row>
    <row r="20" spans="1:58" s="1" customFormat="1" ht="15" x14ac:dyDescent="0.3">
      <c r="A20" s="218">
        <f t="shared" si="0"/>
        <v>28</v>
      </c>
      <c r="B20" s="47">
        <f t="shared" si="38"/>
        <v>42197</v>
      </c>
      <c r="C20" s="219">
        <f t="shared" si="1"/>
        <v>0</v>
      </c>
      <c r="D20" s="220" t="str">
        <f t="shared" si="2"/>
        <v/>
      </c>
      <c r="E20" s="298" t="str">
        <f t="shared" si="3"/>
        <v/>
      </c>
      <c r="F20" s="87">
        <f t="shared" si="4"/>
        <v>42197</v>
      </c>
      <c r="G20" s="147"/>
      <c r="H20" s="74"/>
      <c r="I20" s="75"/>
      <c r="J20" s="221">
        <f t="shared" si="5"/>
        <v>0</v>
      </c>
      <c r="K20" s="76"/>
      <c r="L20" s="221">
        <f t="shared" si="43"/>
        <v>0</v>
      </c>
      <c r="M20" s="74"/>
      <c r="N20" s="75"/>
      <c r="O20" s="221">
        <f t="shared" si="6"/>
        <v>0</v>
      </c>
      <c r="P20" s="76"/>
      <c r="Q20" s="221">
        <f t="shared" si="44"/>
        <v>0</v>
      </c>
      <c r="R20" s="221">
        <f t="shared" si="45"/>
        <v>0</v>
      </c>
      <c r="S20" s="221">
        <f t="shared" si="7"/>
        <v>0</v>
      </c>
      <c r="T20" s="79">
        <f t="shared" si="8"/>
        <v>0</v>
      </c>
      <c r="U20" s="79">
        <f t="shared" si="39"/>
        <v>0</v>
      </c>
      <c r="V20" s="80">
        <f t="shared" ca="1" si="9"/>
        <v>0</v>
      </c>
      <c r="W20" s="249" t="str">
        <f t="shared" ca="1" si="10"/>
        <v/>
      </c>
      <c r="X20" s="293"/>
      <c r="Y20" s="221">
        <f t="shared" si="11"/>
        <v>0</v>
      </c>
      <c r="Z20" s="299">
        <f ca="1">IF(B20="","",INDIRECT(ADDRESS(MATCH(B20,Soll_AZ,1)+MATCH("Arbeitszeit 1 ab",Voreinstellung_Übersicht!B:B,0)-1,WEEKDAY(B20,2)+4,,,"Voreinstellung_Übersicht"),TRUE))</f>
        <v>0</v>
      </c>
      <c r="AA20" s="300">
        <f t="shared" ca="1" si="40"/>
        <v>0</v>
      </c>
      <c r="AB20" s="219">
        <f t="shared" si="12"/>
        <v>0</v>
      </c>
      <c r="AC20" s="219">
        <f t="shared" si="13"/>
        <v>0</v>
      </c>
      <c r="AD20" s="219">
        <f t="shared" si="14"/>
        <v>0</v>
      </c>
      <c r="AE20" s="219">
        <f t="shared" si="15"/>
        <v>0</v>
      </c>
      <c r="AF20" s="219">
        <f t="shared" si="16"/>
        <v>0</v>
      </c>
      <c r="AG20" s="219">
        <f t="shared" si="17"/>
        <v>0</v>
      </c>
      <c r="AH20" s="219">
        <f t="shared" si="18"/>
        <v>0</v>
      </c>
      <c r="AI20" s="219">
        <f t="shared" si="19"/>
        <v>0</v>
      </c>
      <c r="AJ20" s="219">
        <f t="shared" si="20"/>
        <v>0</v>
      </c>
      <c r="AK20" s="219">
        <f t="shared" si="21"/>
        <v>0</v>
      </c>
      <c r="AL20" s="219">
        <f t="shared" si="22"/>
        <v>0</v>
      </c>
      <c r="AM20" s="219">
        <f t="shared" si="23"/>
        <v>0</v>
      </c>
      <c r="AN20" s="301">
        <f t="shared" si="24"/>
        <v>0</v>
      </c>
      <c r="AO20" s="301">
        <f t="shared" si="25"/>
        <v>0</v>
      </c>
      <c r="AP20" s="301">
        <f t="shared" si="26"/>
        <v>0</v>
      </c>
      <c r="AQ20" s="301">
        <f t="shared" si="27"/>
        <v>0</v>
      </c>
      <c r="AR20" s="301">
        <f t="shared" si="28"/>
        <v>0</v>
      </c>
      <c r="AS20" s="301">
        <f t="shared" si="29"/>
        <v>0</v>
      </c>
      <c r="AT20" s="302">
        <f t="shared" si="30"/>
        <v>0</v>
      </c>
      <c r="AU20" s="302">
        <f t="shared" si="31"/>
        <v>0</v>
      </c>
      <c r="AV20" s="81">
        <f t="shared" si="32"/>
        <v>0</v>
      </c>
      <c r="AW20" s="82">
        <f t="shared" si="33"/>
        <v>0</v>
      </c>
      <c r="AX20" s="81">
        <f t="shared" si="34"/>
        <v>0</v>
      </c>
      <c r="AY20" s="83">
        <f t="shared" si="35"/>
        <v>0</v>
      </c>
      <c r="AZ20" s="83">
        <f t="shared" si="36"/>
        <v>0</v>
      </c>
      <c r="BA20" s="82">
        <f>IF(OR(B20=Feiertage!$A$16,B20=Feiertage!$A$19),U20*Zuschläge_24_31/100,IF(AZ20&gt;0,AZ20*Feiertag_mit/100,IF(AX20&gt;0,AX20*Zuschläge_Sa/100,IF(AY20&gt;0,AY20*Zuschlag_So/100,0))))</f>
        <v>0</v>
      </c>
      <c r="BB20" s="82">
        <f>IF(AND(B20&lt;&gt;0,G20=Voreinstellung_Übersicht!$D$41),IF(EG=1,W20*Über_klein/100,IF(EG=2,W20*Über_groß/100,"Fehler")),0)</f>
        <v>0</v>
      </c>
      <c r="BC20" s="299">
        <f t="shared" ca="1" si="41"/>
        <v>0</v>
      </c>
      <c r="BD20" s="219">
        <f t="shared" ca="1" si="37"/>
        <v>1</v>
      </c>
      <c r="BE20" s="303">
        <f ca="1">IF(B20="","",INDIRECT(ADDRESS(MATCH(B20,Soll_AZ,1)+MATCH("Arbeitszeit 1 ab",Voreinstellung_Übersicht!B:B,0)-1,4,,,"Voreinstellung_Übersicht"),TRUE))</f>
        <v>1.6666666666666665</v>
      </c>
      <c r="BF20" s="1">
        <f t="shared" si="42"/>
        <v>0</v>
      </c>
    </row>
    <row r="21" spans="1:58" s="1" customFormat="1" ht="15" x14ac:dyDescent="0.3">
      <c r="A21" s="218">
        <f t="shared" si="0"/>
        <v>29</v>
      </c>
      <c r="B21" s="47">
        <f t="shared" si="38"/>
        <v>42198</v>
      </c>
      <c r="C21" s="219">
        <f t="shared" si="1"/>
        <v>0</v>
      </c>
      <c r="D21" s="220" t="str">
        <f t="shared" si="2"/>
        <v/>
      </c>
      <c r="E21" s="298" t="str">
        <f t="shared" si="3"/>
        <v/>
      </c>
      <c r="F21" s="87">
        <f t="shared" si="4"/>
        <v>42198</v>
      </c>
      <c r="G21" s="147"/>
      <c r="H21" s="74"/>
      <c r="I21" s="75"/>
      <c r="J21" s="221">
        <f t="shared" si="5"/>
        <v>0</v>
      </c>
      <c r="K21" s="76"/>
      <c r="L21" s="221">
        <f t="shared" si="43"/>
        <v>0</v>
      </c>
      <c r="M21" s="74"/>
      <c r="N21" s="75"/>
      <c r="O21" s="221">
        <f t="shared" si="6"/>
        <v>0</v>
      </c>
      <c r="P21" s="76"/>
      <c r="Q21" s="221">
        <f t="shared" si="44"/>
        <v>0</v>
      </c>
      <c r="R21" s="221">
        <f t="shared" si="45"/>
        <v>0</v>
      </c>
      <c r="S21" s="221">
        <f t="shared" si="7"/>
        <v>0</v>
      </c>
      <c r="T21" s="79">
        <f t="shared" si="8"/>
        <v>0</v>
      </c>
      <c r="U21" s="79">
        <f t="shared" si="39"/>
        <v>0</v>
      </c>
      <c r="V21" s="80">
        <f t="shared" ca="1" si="9"/>
        <v>0</v>
      </c>
      <c r="W21" s="249" t="str">
        <f t="shared" ca="1" si="10"/>
        <v/>
      </c>
      <c r="X21" s="293"/>
      <c r="Y21" s="221">
        <f t="shared" si="11"/>
        <v>0</v>
      </c>
      <c r="Z21" s="299">
        <f ca="1">IF(B21="","",INDIRECT(ADDRESS(MATCH(B21,Soll_AZ,1)+MATCH("Arbeitszeit 1 ab",Voreinstellung_Übersicht!B:B,0)-1,WEEKDAY(B21,2)+4,,,"Voreinstellung_Übersicht"),TRUE))</f>
        <v>0</v>
      </c>
      <c r="AA21" s="300">
        <f t="shared" ca="1" si="40"/>
        <v>0</v>
      </c>
      <c r="AB21" s="219">
        <f t="shared" si="12"/>
        <v>0</v>
      </c>
      <c r="AC21" s="219">
        <f t="shared" si="13"/>
        <v>0</v>
      </c>
      <c r="AD21" s="219">
        <f t="shared" si="14"/>
        <v>0</v>
      </c>
      <c r="AE21" s="219">
        <f t="shared" si="15"/>
        <v>0</v>
      </c>
      <c r="AF21" s="219">
        <f t="shared" si="16"/>
        <v>0</v>
      </c>
      <c r="AG21" s="219">
        <f t="shared" si="17"/>
        <v>0</v>
      </c>
      <c r="AH21" s="219">
        <f t="shared" si="18"/>
        <v>0</v>
      </c>
      <c r="AI21" s="219">
        <f t="shared" si="19"/>
        <v>0</v>
      </c>
      <c r="AJ21" s="219">
        <f t="shared" si="20"/>
        <v>0</v>
      </c>
      <c r="AK21" s="219">
        <f t="shared" si="21"/>
        <v>0</v>
      </c>
      <c r="AL21" s="219">
        <f t="shared" si="22"/>
        <v>0</v>
      </c>
      <c r="AM21" s="219">
        <f t="shared" si="23"/>
        <v>0</v>
      </c>
      <c r="AN21" s="301">
        <f t="shared" si="24"/>
        <v>0</v>
      </c>
      <c r="AO21" s="301">
        <f t="shared" si="25"/>
        <v>0</v>
      </c>
      <c r="AP21" s="301">
        <f t="shared" si="26"/>
        <v>0</v>
      </c>
      <c r="AQ21" s="301">
        <f t="shared" si="27"/>
        <v>0</v>
      </c>
      <c r="AR21" s="301">
        <f t="shared" si="28"/>
        <v>0</v>
      </c>
      <c r="AS21" s="301">
        <f t="shared" si="29"/>
        <v>0</v>
      </c>
      <c r="AT21" s="302">
        <f t="shared" si="30"/>
        <v>0</v>
      </c>
      <c r="AU21" s="302">
        <f t="shared" si="31"/>
        <v>0</v>
      </c>
      <c r="AV21" s="81">
        <f t="shared" si="32"/>
        <v>0</v>
      </c>
      <c r="AW21" s="82">
        <f t="shared" si="33"/>
        <v>0</v>
      </c>
      <c r="AX21" s="81">
        <f t="shared" si="34"/>
        <v>0</v>
      </c>
      <c r="AY21" s="83">
        <f t="shared" si="35"/>
        <v>0</v>
      </c>
      <c r="AZ21" s="83">
        <f t="shared" si="36"/>
        <v>0</v>
      </c>
      <c r="BA21" s="82">
        <f>IF(OR(B21=Feiertage!$A$16,B21=Feiertage!$A$19),U21*Zuschläge_24_31/100,IF(AZ21&gt;0,AZ21*Feiertag_mit/100,IF(AX21&gt;0,AX21*Zuschläge_Sa/100,IF(AY21&gt;0,AY21*Zuschlag_So/100,0))))</f>
        <v>0</v>
      </c>
      <c r="BB21" s="82">
        <f>IF(AND(B21&lt;&gt;0,G21=Voreinstellung_Übersicht!$D$41),IF(EG=1,W21*Über_klein/100,IF(EG=2,W21*Über_groß/100,"Fehler")),0)</f>
        <v>0</v>
      </c>
      <c r="BC21" s="299">
        <f t="shared" ca="1" si="41"/>
        <v>0</v>
      </c>
      <c r="BD21" s="219">
        <f t="shared" ca="1" si="37"/>
        <v>1</v>
      </c>
      <c r="BE21" s="303">
        <f ca="1">IF(B21="","",INDIRECT(ADDRESS(MATCH(B21,Soll_AZ,1)+MATCH("Arbeitszeit 1 ab",Voreinstellung_Übersicht!B:B,0)-1,4,,,"Voreinstellung_Übersicht"),TRUE))</f>
        <v>1.6666666666666665</v>
      </c>
      <c r="BF21" s="1">
        <f t="shared" si="42"/>
        <v>0</v>
      </c>
    </row>
    <row r="22" spans="1:58" s="1" customFormat="1" ht="15" x14ac:dyDescent="0.3">
      <c r="A22" s="218">
        <f t="shared" si="0"/>
        <v>29</v>
      </c>
      <c r="B22" s="47">
        <f t="shared" si="38"/>
        <v>42199</v>
      </c>
      <c r="C22" s="219">
        <f t="shared" si="1"/>
        <v>1</v>
      </c>
      <c r="D22" s="220" t="str">
        <f t="shared" si="2"/>
        <v/>
      </c>
      <c r="E22" s="298" t="str">
        <f t="shared" si="3"/>
        <v/>
      </c>
      <c r="F22" s="87">
        <f t="shared" si="4"/>
        <v>42199</v>
      </c>
      <c r="G22" s="147"/>
      <c r="H22" s="74"/>
      <c r="I22" s="75"/>
      <c r="J22" s="221">
        <f t="shared" si="5"/>
        <v>0</v>
      </c>
      <c r="K22" s="76"/>
      <c r="L22" s="221">
        <f t="shared" si="43"/>
        <v>0</v>
      </c>
      <c r="M22" s="74"/>
      <c r="N22" s="75"/>
      <c r="O22" s="221">
        <f t="shared" si="6"/>
        <v>0</v>
      </c>
      <c r="P22" s="76"/>
      <c r="Q22" s="221">
        <f t="shared" si="44"/>
        <v>0</v>
      </c>
      <c r="R22" s="221">
        <f t="shared" si="45"/>
        <v>0</v>
      </c>
      <c r="S22" s="221">
        <f t="shared" si="7"/>
        <v>0</v>
      </c>
      <c r="T22" s="79">
        <f t="shared" si="8"/>
        <v>0</v>
      </c>
      <c r="U22" s="79">
        <f t="shared" si="39"/>
        <v>0</v>
      </c>
      <c r="V22" s="80">
        <f t="shared" ca="1" si="9"/>
        <v>0.33333333329999998</v>
      </c>
      <c r="W22" s="249" t="str">
        <f t="shared" ca="1" si="10"/>
        <v/>
      </c>
      <c r="X22" s="293"/>
      <c r="Y22" s="221">
        <f t="shared" si="11"/>
        <v>0</v>
      </c>
      <c r="Z22" s="299">
        <f ca="1">IF(B22="","",INDIRECT(ADDRESS(MATCH(B22,Soll_AZ,1)+MATCH("Arbeitszeit 1 ab",Voreinstellung_Übersicht!B:B,0)-1,WEEKDAY(B22,2)+4,,,"Voreinstellung_Übersicht"),TRUE))</f>
        <v>0.33333333333333331</v>
      </c>
      <c r="AA22" s="300">
        <f t="shared" ca="1" si="40"/>
        <v>0</v>
      </c>
      <c r="AB22" s="219">
        <f t="shared" si="12"/>
        <v>0</v>
      </c>
      <c r="AC22" s="219">
        <f t="shared" si="13"/>
        <v>0</v>
      </c>
      <c r="AD22" s="219">
        <f t="shared" si="14"/>
        <v>0</v>
      </c>
      <c r="AE22" s="219">
        <f t="shared" si="15"/>
        <v>0</v>
      </c>
      <c r="AF22" s="219">
        <f t="shared" si="16"/>
        <v>0</v>
      </c>
      <c r="AG22" s="219">
        <f t="shared" si="17"/>
        <v>0</v>
      </c>
      <c r="AH22" s="219">
        <f t="shared" si="18"/>
        <v>0</v>
      </c>
      <c r="AI22" s="219">
        <f t="shared" si="19"/>
        <v>0</v>
      </c>
      <c r="AJ22" s="219">
        <f t="shared" si="20"/>
        <v>0</v>
      </c>
      <c r="AK22" s="219">
        <f t="shared" si="21"/>
        <v>0</v>
      </c>
      <c r="AL22" s="219">
        <f t="shared" si="22"/>
        <v>0</v>
      </c>
      <c r="AM22" s="219">
        <f t="shared" si="23"/>
        <v>0</v>
      </c>
      <c r="AN22" s="301">
        <f t="shared" si="24"/>
        <v>0</v>
      </c>
      <c r="AO22" s="301">
        <f t="shared" si="25"/>
        <v>0</v>
      </c>
      <c r="AP22" s="301">
        <f t="shared" si="26"/>
        <v>0</v>
      </c>
      <c r="AQ22" s="301">
        <f t="shared" si="27"/>
        <v>0</v>
      </c>
      <c r="AR22" s="301">
        <f t="shared" si="28"/>
        <v>0</v>
      </c>
      <c r="AS22" s="301">
        <f t="shared" si="29"/>
        <v>0</v>
      </c>
      <c r="AT22" s="302">
        <f t="shared" si="30"/>
        <v>0</v>
      </c>
      <c r="AU22" s="302">
        <f t="shared" si="31"/>
        <v>0</v>
      </c>
      <c r="AV22" s="81">
        <f t="shared" si="32"/>
        <v>0</v>
      </c>
      <c r="AW22" s="82">
        <f t="shared" si="33"/>
        <v>0</v>
      </c>
      <c r="AX22" s="81">
        <f t="shared" si="34"/>
        <v>0</v>
      </c>
      <c r="AY22" s="83">
        <f t="shared" si="35"/>
        <v>0</v>
      </c>
      <c r="AZ22" s="83">
        <f t="shared" si="36"/>
        <v>0</v>
      </c>
      <c r="BA22" s="82">
        <f>IF(OR(B22=Feiertage!$A$16,B22=Feiertage!$A$19),U22*Zuschläge_24_31/100,IF(AZ22&gt;0,AZ22*Feiertag_mit/100,IF(AX22&gt;0,AX22*Zuschläge_Sa/100,IF(AY22&gt;0,AY22*Zuschlag_So/100,0))))</f>
        <v>0</v>
      </c>
      <c r="BB22" s="82">
        <f>IF(AND(B22&lt;&gt;0,G22=Voreinstellung_Übersicht!$D$41),IF(EG=1,W22*Über_klein/100,IF(EG=2,W22*Über_groß/100,"Fehler")),0)</f>
        <v>0</v>
      </c>
      <c r="BC22" s="299">
        <f t="shared" ca="1" si="41"/>
        <v>0</v>
      </c>
      <c r="BD22" s="219">
        <f t="shared" ca="1" si="37"/>
        <v>1</v>
      </c>
      <c r="BE22" s="303">
        <f ca="1">IF(B22="","",INDIRECT(ADDRESS(MATCH(B22,Soll_AZ,1)+MATCH("Arbeitszeit 1 ab",Voreinstellung_Übersicht!B:B,0)-1,4,,,"Voreinstellung_Übersicht"),TRUE))</f>
        <v>1.6666666666666665</v>
      </c>
      <c r="BF22" s="1">
        <f t="shared" si="42"/>
        <v>0</v>
      </c>
    </row>
    <row r="23" spans="1:58" s="1" customFormat="1" ht="15" x14ac:dyDescent="0.3">
      <c r="A23" s="218">
        <f t="shared" si="0"/>
        <v>29</v>
      </c>
      <c r="B23" s="47">
        <f t="shared" si="38"/>
        <v>42200</v>
      </c>
      <c r="C23" s="219">
        <f t="shared" si="1"/>
        <v>1</v>
      </c>
      <c r="D23" s="220" t="str">
        <f t="shared" si="2"/>
        <v/>
      </c>
      <c r="E23" s="298" t="str">
        <f t="shared" si="3"/>
        <v/>
      </c>
      <c r="F23" s="87">
        <f t="shared" si="4"/>
        <v>42200</v>
      </c>
      <c r="G23" s="147"/>
      <c r="H23" s="74"/>
      <c r="I23" s="75"/>
      <c r="J23" s="221">
        <f t="shared" si="5"/>
        <v>0</v>
      </c>
      <c r="K23" s="76"/>
      <c r="L23" s="221">
        <f t="shared" si="43"/>
        <v>0</v>
      </c>
      <c r="M23" s="74"/>
      <c r="N23" s="75"/>
      <c r="O23" s="221">
        <f t="shared" si="6"/>
        <v>0</v>
      </c>
      <c r="P23" s="76"/>
      <c r="Q23" s="221">
        <f t="shared" si="44"/>
        <v>0</v>
      </c>
      <c r="R23" s="221">
        <f t="shared" si="45"/>
        <v>0</v>
      </c>
      <c r="S23" s="221">
        <f t="shared" si="7"/>
        <v>0</v>
      </c>
      <c r="T23" s="79">
        <f t="shared" si="8"/>
        <v>0</v>
      </c>
      <c r="U23" s="79">
        <f t="shared" si="39"/>
        <v>0</v>
      </c>
      <c r="V23" s="80">
        <f t="shared" ca="1" si="9"/>
        <v>0.33333333329999998</v>
      </c>
      <c r="W23" s="249" t="str">
        <f t="shared" ca="1" si="10"/>
        <v/>
      </c>
      <c r="X23" s="293"/>
      <c r="Y23" s="221">
        <f t="shared" si="11"/>
        <v>0</v>
      </c>
      <c r="Z23" s="299">
        <f ca="1">IF(B23="","",INDIRECT(ADDRESS(MATCH(B23,Soll_AZ,1)+MATCH("Arbeitszeit 1 ab",Voreinstellung_Übersicht!B:B,0)-1,WEEKDAY(B23,2)+4,,,"Voreinstellung_Übersicht"),TRUE))</f>
        <v>0.33333333333333331</v>
      </c>
      <c r="AA23" s="300">
        <f t="shared" ca="1" si="40"/>
        <v>0</v>
      </c>
      <c r="AB23" s="219">
        <f t="shared" si="12"/>
        <v>0</v>
      </c>
      <c r="AC23" s="219">
        <f t="shared" si="13"/>
        <v>0</v>
      </c>
      <c r="AD23" s="219">
        <f t="shared" si="14"/>
        <v>0</v>
      </c>
      <c r="AE23" s="219">
        <f t="shared" si="15"/>
        <v>0</v>
      </c>
      <c r="AF23" s="219">
        <f t="shared" si="16"/>
        <v>0</v>
      </c>
      <c r="AG23" s="219">
        <f t="shared" si="17"/>
        <v>0</v>
      </c>
      <c r="AH23" s="219">
        <f t="shared" si="18"/>
        <v>0</v>
      </c>
      <c r="AI23" s="219">
        <f t="shared" si="19"/>
        <v>0</v>
      </c>
      <c r="AJ23" s="219">
        <f t="shared" si="20"/>
        <v>0</v>
      </c>
      <c r="AK23" s="219">
        <f t="shared" si="21"/>
        <v>0</v>
      </c>
      <c r="AL23" s="219">
        <f t="shared" si="22"/>
        <v>0</v>
      </c>
      <c r="AM23" s="219">
        <f t="shared" si="23"/>
        <v>0</v>
      </c>
      <c r="AN23" s="301">
        <f t="shared" si="24"/>
        <v>0</v>
      </c>
      <c r="AO23" s="301">
        <f t="shared" si="25"/>
        <v>0</v>
      </c>
      <c r="AP23" s="301">
        <f t="shared" si="26"/>
        <v>0</v>
      </c>
      <c r="AQ23" s="301">
        <f t="shared" si="27"/>
        <v>0</v>
      </c>
      <c r="AR23" s="301">
        <f t="shared" si="28"/>
        <v>0</v>
      </c>
      <c r="AS23" s="301">
        <f t="shared" si="29"/>
        <v>0</v>
      </c>
      <c r="AT23" s="302">
        <f t="shared" si="30"/>
        <v>0</v>
      </c>
      <c r="AU23" s="302">
        <f t="shared" si="31"/>
        <v>0</v>
      </c>
      <c r="AV23" s="81">
        <f t="shared" si="32"/>
        <v>0</v>
      </c>
      <c r="AW23" s="82">
        <f t="shared" si="33"/>
        <v>0</v>
      </c>
      <c r="AX23" s="81">
        <f t="shared" si="34"/>
        <v>0</v>
      </c>
      <c r="AY23" s="83">
        <f t="shared" si="35"/>
        <v>0</v>
      </c>
      <c r="AZ23" s="83">
        <f t="shared" si="36"/>
        <v>0</v>
      </c>
      <c r="BA23" s="82">
        <f>IF(OR(B23=Feiertage!$A$16,B23=Feiertage!$A$19),U23*Zuschläge_24_31/100,IF(AZ23&gt;0,AZ23*Feiertag_mit/100,IF(AX23&gt;0,AX23*Zuschläge_Sa/100,IF(AY23&gt;0,AY23*Zuschlag_So/100,0))))</f>
        <v>0</v>
      </c>
      <c r="BB23" s="82">
        <f>IF(AND(B23&lt;&gt;0,G23=Voreinstellung_Übersicht!$D$41),IF(EG=1,W23*Über_klein/100,IF(EG=2,W23*Über_groß/100,"Fehler")),0)</f>
        <v>0</v>
      </c>
      <c r="BC23" s="299">
        <f t="shared" ca="1" si="41"/>
        <v>0</v>
      </c>
      <c r="BD23" s="219">
        <f t="shared" ca="1" si="37"/>
        <v>1</v>
      </c>
      <c r="BE23" s="303">
        <f ca="1">IF(B23="","",INDIRECT(ADDRESS(MATCH(B23,Soll_AZ,1)+MATCH("Arbeitszeit 1 ab",Voreinstellung_Übersicht!B:B,0)-1,4,,,"Voreinstellung_Übersicht"),TRUE))</f>
        <v>1.6666666666666665</v>
      </c>
      <c r="BF23" s="1">
        <f t="shared" si="42"/>
        <v>0</v>
      </c>
    </row>
    <row r="24" spans="1:58" s="1" customFormat="1" ht="15" x14ac:dyDescent="0.3">
      <c r="A24" s="218">
        <f t="shared" si="0"/>
        <v>29</v>
      </c>
      <c r="B24" s="47">
        <f t="shared" si="38"/>
        <v>42201</v>
      </c>
      <c r="C24" s="219">
        <f t="shared" si="1"/>
        <v>1</v>
      </c>
      <c r="D24" s="220" t="str">
        <f t="shared" si="2"/>
        <v/>
      </c>
      <c r="E24" s="298" t="str">
        <f t="shared" si="3"/>
        <v/>
      </c>
      <c r="F24" s="87">
        <f t="shared" si="4"/>
        <v>42201</v>
      </c>
      <c r="G24" s="147"/>
      <c r="H24" s="74"/>
      <c r="I24" s="75"/>
      <c r="J24" s="221">
        <f t="shared" si="5"/>
        <v>0</v>
      </c>
      <c r="K24" s="76"/>
      <c r="L24" s="221">
        <f t="shared" si="43"/>
        <v>0</v>
      </c>
      <c r="M24" s="74"/>
      <c r="N24" s="75"/>
      <c r="O24" s="221">
        <f t="shared" si="6"/>
        <v>0</v>
      </c>
      <c r="P24" s="76"/>
      <c r="Q24" s="221">
        <f t="shared" si="44"/>
        <v>0</v>
      </c>
      <c r="R24" s="221">
        <f t="shared" si="45"/>
        <v>0</v>
      </c>
      <c r="S24" s="221">
        <f t="shared" si="7"/>
        <v>0</v>
      </c>
      <c r="T24" s="79">
        <f t="shared" si="8"/>
        <v>0</v>
      </c>
      <c r="U24" s="79">
        <f t="shared" si="39"/>
        <v>0</v>
      </c>
      <c r="V24" s="80">
        <f t="shared" ca="1" si="9"/>
        <v>0.33333333329999998</v>
      </c>
      <c r="W24" s="249" t="str">
        <f t="shared" ca="1" si="10"/>
        <v/>
      </c>
      <c r="X24" s="293"/>
      <c r="Y24" s="221">
        <f t="shared" si="11"/>
        <v>0</v>
      </c>
      <c r="Z24" s="299">
        <f ca="1">IF(B24="","",INDIRECT(ADDRESS(MATCH(B24,Soll_AZ,1)+MATCH("Arbeitszeit 1 ab",Voreinstellung_Übersicht!B:B,0)-1,WEEKDAY(B24,2)+4,,,"Voreinstellung_Übersicht"),TRUE))</f>
        <v>0.33333333333333331</v>
      </c>
      <c r="AA24" s="300">
        <f t="shared" ca="1" si="40"/>
        <v>0</v>
      </c>
      <c r="AB24" s="219">
        <f t="shared" si="12"/>
        <v>0</v>
      </c>
      <c r="AC24" s="219">
        <f t="shared" si="13"/>
        <v>0</v>
      </c>
      <c r="AD24" s="219">
        <f t="shared" si="14"/>
        <v>0</v>
      </c>
      <c r="AE24" s="219">
        <f t="shared" si="15"/>
        <v>0</v>
      </c>
      <c r="AF24" s="219">
        <f t="shared" si="16"/>
        <v>0</v>
      </c>
      <c r="AG24" s="219">
        <f t="shared" si="17"/>
        <v>0</v>
      </c>
      <c r="AH24" s="219">
        <f t="shared" si="18"/>
        <v>0</v>
      </c>
      <c r="AI24" s="219">
        <f t="shared" si="19"/>
        <v>0</v>
      </c>
      <c r="AJ24" s="219">
        <f t="shared" si="20"/>
        <v>0</v>
      </c>
      <c r="AK24" s="219">
        <f t="shared" si="21"/>
        <v>0</v>
      </c>
      <c r="AL24" s="219">
        <f t="shared" si="22"/>
        <v>0</v>
      </c>
      <c r="AM24" s="219">
        <f t="shared" si="23"/>
        <v>0</v>
      </c>
      <c r="AN24" s="301">
        <f t="shared" si="24"/>
        <v>0</v>
      </c>
      <c r="AO24" s="301">
        <f t="shared" si="25"/>
        <v>0</v>
      </c>
      <c r="AP24" s="301">
        <f t="shared" si="26"/>
        <v>0</v>
      </c>
      <c r="AQ24" s="301">
        <f t="shared" si="27"/>
        <v>0</v>
      </c>
      <c r="AR24" s="301">
        <f t="shared" si="28"/>
        <v>0</v>
      </c>
      <c r="AS24" s="301">
        <f t="shared" si="29"/>
        <v>0</v>
      </c>
      <c r="AT24" s="302">
        <f t="shared" si="30"/>
        <v>0</v>
      </c>
      <c r="AU24" s="302">
        <f t="shared" si="31"/>
        <v>0</v>
      </c>
      <c r="AV24" s="81">
        <f t="shared" si="32"/>
        <v>0</v>
      </c>
      <c r="AW24" s="82">
        <f t="shared" si="33"/>
        <v>0</v>
      </c>
      <c r="AX24" s="81">
        <f t="shared" si="34"/>
        <v>0</v>
      </c>
      <c r="AY24" s="83">
        <f t="shared" si="35"/>
        <v>0</v>
      </c>
      <c r="AZ24" s="83">
        <f t="shared" si="36"/>
        <v>0</v>
      </c>
      <c r="BA24" s="82">
        <f>IF(OR(B24=Feiertage!$A$16,B24=Feiertage!$A$19),U24*Zuschläge_24_31/100,IF(AZ24&gt;0,AZ24*Feiertag_mit/100,IF(AX24&gt;0,AX24*Zuschläge_Sa/100,IF(AY24&gt;0,AY24*Zuschlag_So/100,0))))</f>
        <v>0</v>
      </c>
      <c r="BB24" s="82">
        <f>IF(AND(B24&lt;&gt;0,G24=Voreinstellung_Übersicht!$D$41),IF(EG=1,W24*Über_klein/100,IF(EG=2,W24*Über_groß/100,"Fehler")),0)</f>
        <v>0</v>
      </c>
      <c r="BC24" s="299">
        <f t="shared" ca="1" si="41"/>
        <v>0</v>
      </c>
      <c r="BD24" s="219">
        <f t="shared" ca="1" si="37"/>
        <v>1</v>
      </c>
      <c r="BE24" s="303">
        <f ca="1">IF(B24="","",INDIRECT(ADDRESS(MATCH(B24,Soll_AZ,1)+MATCH("Arbeitszeit 1 ab",Voreinstellung_Übersicht!B:B,0)-1,4,,,"Voreinstellung_Übersicht"),TRUE))</f>
        <v>1.6666666666666665</v>
      </c>
      <c r="BF24" s="1">
        <f t="shared" si="42"/>
        <v>0</v>
      </c>
    </row>
    <row r="25" spans="1:58" s="1" customFormat="1" ht="15" x14ac:dyDescent="0.3">
      <c r="A25" s="218">
        <f t="shared" si="0"/>
        <v>29</v>
      </c>
      <c r="B25" s="47">
        <f t="shared" si="38"/>
        <v>42202</v>
      </c>
      <c r="C25" s="219">
        <f t="shared" si="1"/>
        <v>1</v>
      </c>
      <c r="D25" s="220" t="str">
        <f t="shared" si="2"/>
        <v/>
      </c>
      <c r="E25" s="298" t="str">
        <f t="shared" si="3"/>
        <v/>
      </c>
      <c r="F25" s="87">
        <f t="shared" si="4"/>
        <v>42202</v>
      </c>
      <c r="G25" s="147"/>
      <c r="H25" s="74"/>
      <c r="I25" s="75"/>
      <c r="J25" s="221">
        <f t="shared" si="5"/>
        <v>0</v>
      </c>
      <c r="K25" s="76"/>
      <c r="L25" s="221">
        <f t="shared" si="43"/>
        <v>0</v>
      </c>
      <c r="M25" s="74"/>
      <c r="N25" s="75"/>
      <c r="O25" s="221">
        <f t="shared" si="6"/>
        <v>0</v>
      </c>
      <c r="P25" s="76"/>
      <c r="Q25" s="221">
        <f t="shared" si="44"/>
        <v>0</v>
      </c>
      <c r="R25" s="221">
        <f t="shared" si="45"/>
        <v>0</v>
      </c>
      <c r="S25" s="221">
        <f t="shared" si="7"/>
        <v>0</v>
      </c>
      <c r="T25" s="79">
        <f t="shared" si="8"/>
        <v>0</v>
      </c>
      <c r="U25" s="79">
        <f t="shared" si="39"/>
        <v>0</v>
      </c>
      <c r="V25" s="80">
        <f t="shared" ca="1" si="9"/>
        <v>0.33333333329999998</v>
      </c>
      <c r="W25" s="249" t="str">
        <f t="shared" ca="1" si="10"/>
        <v/>
      </c>
      <c r="X25" s="293"/>
      <c r="Y25" s="221">
        <f t="shared" si="11"/>
        <v>0</v>
      </c>
      <c r="Z25" s="299">
        <f ca="1">IF(B25="","",INDIRECT(ADDRESS(MATCH(B25,Soll_AZ,1)+MATCH("Arbeitszeit 1 ab",Voreinstellung_Übersicht!B:B,0)-1,WEEKDAY(B25,2)+4,,,"Voreinstellung_Übersicht"),TRUE))</f>
        <v>0.33333333333333331</v>
      </c>
      <c r="AA25" s="300">
        <f t="shared" ca="1" si="40"/>
        <v>0</v>
      </c>
      <c r="AB25" s="219">
        <f t="shared" si="12"/>
        <v>0</v>
      </c>
      <c r="AC25" s="219">
        <f t="shared" si="13"/>
        <v>0</v>
      </c>
      <c r="AD25" s="219">
        <f t="shared" si="14"/>
        <v>0</v>
      </c>
      <c r="AE25" s="219">
        <f t="shared" si="15"/>
        <v>0</v>
      </c>
      <c r="AF25" s="219">
        <f t="shared" si="16"/>
        <v>0</v>
      </c>
      <c r="AG25" s="219">
        <f t="shared" si="17"/>
        <v>0</v>
      </c>
      <c r="AH25" s="219">
        <f t="shared" si="18"/>
        <v>0</v>
      </c>
      <c r="AI25" s="219">
        <f t="shared" si="19"/>
        <v>0</v>
      </c>
      <c r="AJ25" s="219">
        <f t="shared" si="20"/>
        <v>0</v>
      </c>
      <c r="AK25" s="219">
        <f t="shared" si="21"/>
        <v>0</v>
      </c>
      <c r="AL25" s="219">
        <f t="shared" si="22"/>
        <v>0</v>
      </c>
      <c r="AM25" s="219">
        <f t="shared" si="23"/>
        <v>0</v>
      </c>
      <c r="AN25" s="301">
        <f t="shared" si="24"/>
        <v>0</v>
      </c>
      <c r="AO25" s="301">
        <f t="shared" si="25"/>
        <v>0</v>
      </c>
      <c r="AP25" s="301">
        <f t="shared" si="26"/>
        <v>0</v>
      </c>
      <c r="AQ25" s="301">
        <f t="shared" si="27"/>
        <v>0</v>
      </c>
      <c r="AR25" s="301">
        <f t="shared" si="28"/>
        <v>0</v>
      </c>
      <c r="AS25" s="301">
        <f t="shared" si="29"/>
        <v>0</v>
      </c>
      <c r="AT25" s="302">
        <f t="shared" si="30"/>
        <v>0</v>
      </c>
      <c r="AU25" s="302">
        <f t="shared" si="31"/>
        <v>0</v>
      </c>
      <c r="AV25" s="81">
        <f t="shared" si="32"/>
        <v>0</v>
      </c>
      <c r="AW25" s="82">
        <f t="shared" si="33"/>
        <v>0</v>
      </c>
      <c r="AX25" s="81">
        <f t="shared" si="34"/>
        <v>0</v>
      </c>
      <c r="AY25" s="83">
        <f t="shared" si="35"/>
        <v>0</v>
      </c>
      <c r="AZ25" s="83">
        <f t="shared" si="36"/>
        <v>0</v>
      </c>
      <c r="BA25" s="82">
        <f>IF(OR(B25=Feiertage!$A$16,B25=Feiertage!$A$19),U25*Zuschläge_24_31/100,IF(AZ25&gt;0,AZ25*Feiertag_mit/100,IF(AX25&gt;0,AX25*Zuschläge_Sa/100,IF(AY25&gt;0,AY25*Zuschlag_So/100,0))))</f>
        <v>0</v>
      </c>
      <c r="BB25" s="82">
        <f>IF(AND(B25&lt;&gt;0,G25=Voreinstellung_Übersicht!$D$41),IF(EG=1,W25*Über_klein/100,IF(EG=2,W25*Über_groß/100,"Fehler")),0)</f>
        <v>0</v>
      </c>
      <c r="BC25" s="299">
        <f t="shared" ca="1" si="41"/>
        <v>0</v>
      </c>
      <c r="BD25" s="219">
        <f t="shared" ca="1" si="37"/>
        <v>1</v>
      </c>
      <c r="BE25" s="303">
        <f ca="1">IF(B25="","",INDIRECT(ADDRESS(MATCH(B25,Soll_AZ,1)+MATCH("Arbeitszeit 1 ab",Voreinstellung_Übersicht!B:B,0)-1,4,,,"Voreinstellung_Übersicht"),TRUE))</f>
        <v>1.6666666666666665</v>
      </c>
      <c r="BF25" s="1">
        <f t="shared" si="42"/>
        <v>0</v>
      </c>
    </row>
    <row r="26" spans="1:58" s="1" customFormat="1" ht="15" x14ac:dyDescent="0.3">
      <c r="A26" s="218">
        <f t="shared" si="0"/>
        <v>29</v>
      </c>
      <c r="B26" s="47">
        <f t="shared" si="38"/>
        <v>42203</v>
      </c>
      <c r="C26" s="219">
        <f t="shared" si="1"/>
        <v>1</v>
      </c>
      <c r="D26" s="220" t="str">
        <f t="shared" si="2"/>
        <v/>
      </c>
      <c r="E26" s="298" t="str">
        <f t="shared" si="3"/>
        <v/>
      </c>
      <c r="F26" s="87">
        <f t="shared" si="4"/>
        <v>42203</v>
      </c>
      <c r="G26" s="147"/>
      <c r="H26" s="74"/>
      <c r="I26" s="75"/>
      <c r="J26" s="221">
        <f t="shared" si="5"/>
        <v>0</v>
      </c>
      <c r="K26" s="76"/>
      <c r="L26" s="221">
        <f t="shared" si="43"/>
        <v>0</v>
      </c>
      <c r="M26" s="74"/>
      <c r="N26" s="75"/>
      <c r="O26" s="221">
        <f t="shared" si="6"/>
        <v>0</v>
      </c>
      <c r="P26" s="76"/>
      <c r="Q26" s="221">
        <f t="shared" si="44"/>
        <v>0</v>
      </c>
      <c r="R26" s="221">
        <f t="shared" si="45"/>
        <v>0</v>
      </c>
      <c r="S26" s="221">
        <f t="shared" si="7"/>
        <v>0</v>
      </c>
      <c r="T26" s="79">
        <f t="shared" si="8"/>
        <v>0</v>
      </c>
      <c r="U26" s="79">
        <f t="shared" si="39"/>
        <v>0</v>
      </c>
      <c r="V26" s="80">
        <f t="shared" ca="1" si="9"/>
        <v>0.33333333329999998</v>
      </c>
      <c r="W26" s="249" t="str">
        <f t="shared" ca="1" si="10"/>
        <v/>
      </c>
      <c r="X26" s="293"/>
      <c r="Y26" s="221">
        <f t="shared" si="11"/>
        <v>0</v>
      </c>
      <c r="Z26" s="299">
        <f ca="1">IF(B26="","",INDIRECT(ADDRESS(MATCH(B26,Soll_AZ,1)+MATCH("Arbeitszeit 1 ab",Voreinstellung_Übersicht!B:B,0)-1,WEEKDAY(B26,2)+4,,,"Voreinstellung_Übersicht"),TRUE))</f>
        <v>0.33333333333333331</v>
      </c>
      <c r="AA26" s="300">
        <f t="shared" ca="1" si="40"/>
        <v>0</v>
      </c>
      <c r="AB26" s="219">
        <f t="shared" si="12"/>
        <v>0</v>
      </c>
      <c r="AC26" s="219">
        <f t="shared" si="13"/>
        <v>0</v>
      </c>
      <c r="AD26" s="219">
        <f t="shared" si="14"/>
        <v>0</v>
      </c>
      <c r="AE26" s="219">
        <f t="shared" si="15"/>
        <v>0</v>
      </c>
      <c r="AF26" s="219">
        <f t="shared" si="16"/>
        <v>0</v>
      </c>
      <c r="AG26" s="219">
        <f t="shared" si="17"/>
        <v>0</v>
      </c>
      <c r="AH26" s="219">
        <f t="shared" si="18"/>
        <v>0</v>
      </c>
      <c r="AI26" s="219">
        <f t="shared" si="19"/>
        <v>0</v>
      </c>
      <c r="AJ26" s="219">
        <f t="shared" si="20"/>
        <v>0</v>
      </c>
      <c r="AK26" s="219">
        <f t="shared" si="21"/>
        <v>0</v>
      </c>
      <c r="AL26" s="219">
        <f t="shared" si="22"/>
        <v>0</v>
      </c>
      <c r="AM26" s="219">
        <f t="shared" si="23"/>
        <v>0</v>
      </c>
      <c r="AN26" s="301">
        <f t="shared" si="24"/>
        <v>0</v>
      </c>
      <c r="AO26" s="301">
        <f t="shared" si="25"/>
        <v>0</v>
      </c>
      <c r="AP26" s="301">
        <f t="shared" si="26"/>
        <v>0</v>
      </c>
      <c r="AQ26" s="301">
        <f t="shared" si="27"/>
        <v>0</v>
      </c>
      <c r="AR26" s="301">
        <f t="shared" si="28"/>
        <v>0</v>
      </c>
      <c r="AS26" s="301">
        <f t="shared" si="29"/>
        <v>0</v>
      </c>
      <c r="AT26" s="302">
        <f t="shared" si="30"/>
        <v>0</v>
      </c>
      <c r="AU26" s="302">
        <f t="shared" si="31"/>
        <v>0</v>
      </c>
      <c r="AV26" s="81">
        <f t="shared" si="32"/>
        <v>0</v>
      </c>
      <c r="AW26" s="82">
        <f t="shared" si="33"/>
        <v>0</v>
      </c>
      <c r="AX26" s="81">
        <f t="shared" si="34"/>
        <v>0</v>
      </c>
      <c r="AY26" s="83">
        <f t="shared" si="35"/>
        <v>0</v>
      </c>
      <c r="AZ26" s="83">
        <f t="shared" si="36"/>
        <v>0</v>
      </c>
      <c r="BA26" s="82">
        <f>IF(OR(B26=Feiertage!$A$16,B26=Feiertage!$A$19),U26*Zuschläge_24_31/100,IF(AZ26&gt;0,AZ26*Feiertag_mit/100,IF(AX26&gt;0,AX26*Zuschläge_Sa/100,IF(AY26&gt;0,AY26*Zuschlag_So/100,0))))</f>
        <v>0</v>
      </c>
      <c r="BB26" s="82">
        <f>IF(AND(B26&lt;&gt;0,G26=Voreinstellung_Übersicht!$D$41),IF(EG=1,W26*Über_klein/100,IF(EG=2,W26*Über_groß/100,"Fehler")),0)</f>
        <v>0</v>
      </c>
      <c r="BC26" s="299">
        <f t="shared" ca="1" si="41"/>
        <v>0</v>
      </c>
      <c r="BD26" s="219">
        <f t="shared" ca="1" si="37"/>
        <v>1</v>
      </c>
      <c r="BE26" s="303">
        <f ca="1">IF(B26="","",INDIRECT(ADDRESS(MATCH(B26,Soll_AZ,1)+MATCH("Arbeitszeit 1 ab",Voreinstellung_Übersicht!B:B,0)-1,4,,,"Voreinstellung_Übersicht"),TRUE))</f>
        <v>1.6666666666666665</v>
      </c>
      <c r="BF26" s="1">
        <f t="shared" si="42"/>
        <v>0</v>
      </c>
    </row>
    <row r="27" spans="1:58" s="1" customFormat="1" ht="15" x14ac:dyDescent="0.3">
      <c r="A27" s="218">
        <f t="shared" si="0"/>
        <v>29</v>
      </c>
      <c r="B27" s="47">
        <f t="shared" si="38"/>
        <v>42204</v>
      </c>
      <c r="C27" s="219">
        <f t="shared" si="1"/>
        <v>0</v>
      </c>
      <c r="D27" s="220" t="str">
        <f t="shared" si="2"/>
        <v/>
      </c>
      <c r="E27" s="298" t="str">
        <f t="shared" si="3"/>
        <v/>
      </c>
      <c r="F27" s="87">
        <f t="shared" si="4"/>
        <v>42204</v>
      </c>
      <c r="G27" s="147"/>
      <c r="H27" s="74"/>
      <c r="I27" s="75"/>
      <c r="J27" s="221">
        <f t="shared" si="5"/>
        <v>0</v>
      </c>
      <c r="K27" s="76"/>
      <c r="L27" s="221">
        <f t="shared" si="43"/>
        <v>0</v>
      </c>
      <c r="M27" s="74"/>
      <c r="N27" s="75"/>
      <c r="O27" s="221">
        <f t="shared" si="6"/>
        <v>0</v>
      </c>
      <c r="P27" s="76"/>
      <c r="Q27" s="221">
        <f t="shared" si="44"/>
        <v>0</v>
      </c>
      <c r="R27" s="221">
        <f t="shared" si="45"/>
        <v>0</v>
      </c>
      <c r="S27" s="221">
        <f t="shared" si="7"/>
        <v>0</v>
      </c>
      <c r="T27" s="79">
        <f t="shared" si="8"/>
        <v>0</v>
      </c>
      <c r="U27" s="79">
        <f t="shared" si="39"/>
        <v>0</v>
      </c>
      <c r="V27" s="80">
        <f t="shared" ca="1" si="9"/>
        <v>0</v>
      </c>
      <c r="W27" s="249" t="str">
        <f t="shared" ca="1" si="10"/>
        <v/>
      </c>
      <c r="X27" s="293"/>
      <c r="Y27" s="221">
        <f t="shared" si="11"/>
        <v>0</v>
      </c>
      <c r="Z27" s="299">
        <f ca="1">IF(B27="","",INDIRECT(ADDRESS(MATCH(B27,Soll_AZ,1)+MATCH("Arbeitszeit 1 ab",Voreinstellung_Übersicht!B:B,0)-1,WEEKDAY(B27,2)+4,,,"Voreinstellung_Übersicht"),TRUE))</f>
        <v>0</v>
      </c>
      <c r="AA27" s="300">
        <f t="shared" ca="1" si="40"/>
        <v>0</v>
      </c>
      <c r="AB27" s="219">
        <f t="shared" si="12"/>
        <v>0</v>
      </c>
      <c r="AC27" s="219">
        <f t="shared" si="13"/>
        <v>0</v>
      </c>
      <c r="AD27" s="219">
        <f t="shared" si="14"/>
        <v>0</v>
      </c>
      <c r="AE27" s="219">
        <f t="shared" si="15"/>
        <v>0</v>
      </c>
      <c r="AF27" s="219">
        <f t="shared" si="16"/>
        <v>0</v>
      </c>
      <c r="AG27" s="219">
        <f t="shared" si="17"/>
        <v>0</v>
      </c>
      <c r="AH27" s="219">
        <f t="shared" si="18"/>
        <v>0</v>
      </c>
      <c r="AI27" s="219">
        <f t="shared" si="19"/>
        <v>0</v>
      </c>
      <c r="AJ27" s="219">
        <f t="shared" si="20"/>
        <v>0</v>
      </c>
      <c r="AK27" s="219">
        <f t="shared" si="21"/>
        <v>0</v>
      </c>
      <c r="AL27" s="219">
        <f t="shared" si="22"/>
        <v>0</v>
      </c>
      <c r="AM27" s="219">
        <f t="shared" si="23"/>
        <v>0</v>
      </c>
      <c r="AN27" s="301">
        <f t="shared" si="24"/>
        <v>0</v>
      </c>
      <c r="AO27" s="301">
        <f t="shared" si="25"/>
        <v>0</v>
      </c>
      <c r="AP27" s="301">
        <f t="shared" si="26"/>
        <v>0</v>
      </c>
      <c r="AQ27" s="301">
        <f t="shared" si="27"/>
        <v>0</v>
      </c>
      <c r="AR27" s="301">
        <f t="shared" si="28"/>
        <v>0</v>
      </c>
      <c r="AS27" s="301">
        <f t="shared" si="29"/>
        <v>0</v>
      </c>
      <c r="AT27" s="302">
        <f t="shared" si="30"/>
        <v>0</v>
      </c>
      <c r="AU27" s="302">
        <f t="shared" si="31"/>
        <v>0</v>
      </c>
      <c r="AV27" s="81">
        <f t="shared" si="32"/>
        <v>0</v>
      </c>
      <c r="AW27" s="82">
        <f t="shared" si="33"/>
        <v>0</v>
      </c>
      <c r="AX27" s="81">
        <f t="shared" si="34"/>
        <v>0</v>
      </c>
      <c r="AY27" s="83">
        <f t="shared" si="35"/>
        <v>0</v>
      </c>
      <c r="AZ27" s="83">
        <f t="shared" si="36"/>
        <v>0</v>
      </c>
      <c r="BA27" s="82">
        <f>IF(OR(B27=Feiertage!$A$16,B27=Feiertage!$A$19),U27*Zuschläge_24_31/100,IF(AZ27&gt;0,AZ27*Feiertag_mit/100,IF(AX27&gt;0,AX27*Zuschläge_Sa/100,IF(AY27&gt;0,AY27*Zuschlag_So/100,0))))</f>
        <v>0</v>
      </c>
      <c r="BB27" s="82">
        <f>IF(AND(B27&lt;&gt;0,G27=Voreinstellung_Übersicht!$D$41),IF(EG=1,W27*Über_klein/100,IF(EG=2,W27*Über_groß/100,"Fehler")),0)</f>
        <v>0</v>
      </c>
      <c r="BC27" s="299">
        <f t="shared" ca="1" si="41"/>
        <v>0</v>
      </c>
      <c r="BD27" s="219">
        <f t="shared" ca="1" si="37"/>
        <v>1</v>
      </c>
      <c r="BE27" s="303">
        <f ca="1">IF(B27="","",INDIRECT(ADDRESS(MATCH(B27,Soll_AZ,1)+MATCH("Arbeitszeit 1 ab",Voreinstellung_Übersicht!B:B,0)-1,4,,,"Voreinstellung_Übersicht"),TRUE))</f>
        <v>1.6666666666666665</v>
      </c>
      <c r="BF27" s="1">
        <f t="shared" si="42"/>
        <v>0</v>
      </c>
    </row>
    <row r="28" spans="1:58" s="1" customFormat="1" ht="15" x14ac:dyDescent="0.3">
      <c r="A28" s="218">
        <f t="shared" si="0"/>
        <v>30</v>
      </c>
      <c r="B28" s="47">
        <f t="shared" si="38"/>
        <v>42205</v>
      </c>
      <c r="C28" s="219">
        <f t="shared" si="1"/>
        <v>0</v>
      </c>
      <c r="D28" s="220" t="str">
        <f t="shared" si="2"/>
        <v/>
      </c>
      <c r="E28" s="298" t="str">
        <f t="shared" si="3"/>
        <v/>
      </c>
      <c r="F28" s="87">
        <f t="shared" si="4"/>
        <v>42205</v>
      </c>
      <c r="G28" s="147"/>
      <c r="H28" s="74"/>
      <c r="I28" s="75"/>
      <c r="J28" s="221">
        <f t="shared" si="5"/>
        <v>0</v>
      </c>
      <c r="K28" s="76"/>
      <c r="L28" s="221">
        <f t="shared" si="43"/>
        <v>0</v>
      </c>
      <c r="M28" s="74"/>
      <c r="N28" s="75"/>
      <c r="O28" s="221">
        <f t="shared" si="6"/>
        <v>0</v>
      </c>
      <c r="P28" s="76"/>
      <c r="Q28" s="221">
        <f t="shared" si="44"/>
        <v>0</v>
      </c>
      <c r="R28" s="221">
        <f t="shared" si="45"/>
        <v>0</v>
      </c>
      <c r="S28" s="221">
        <f t="shared" si="7"/>
        <v>0</v>
      </c>
      <c r="T28" s="79">
        <f t="shared" si="8"/>
        <v>0</v>
      </c>
      <c r="U28" s="79">
        <f t="shared" si="39"/>
        <v>0</v>
      </c>
      <c r="V28" s="80">
        <f t="shared" ca="1" si="9"/>
        <v>0</v>
      </c>
      <c r="W28" s="249" t="str">
        <f t="shared" ca="1" si="10"/>
        <v/>
      </c>
      <c r="X28" s="293"/>
      <c r="Y28" s="221">
        <f t="shared" si="11"/>
        <v>0</v>
      </c>
      <c r="Z28" s="299">
        <f ca="1">IF(B28="","",INDIRECT(ADDRESS(MATCH(B28,Soll_AZ,1)+MATCH("Arbeitszeit 1 ab",Voreinstellung_Übersicht!B:B,0)-1,WEEKDAY(B28,2)+4,,,"Voreinstellung_Übersicht"),TRUE))</f>
        <v>0</v>
      </c>
      <c r="AA28" s="300">
        <f t="shared" ca="1" si="40"/>
        <v>0</v>
      </c>
      <c r="AB28" s="219">
        <f t="shared" si="12"/>
        <v>0</v>
      </c>
      <c r="AC28" s="219">
        <f t="shared" si="13"/>
        <v>0</v>
      </c>
      <c r="AD28" s="219">
        <f t="shared" si="14"/>
        <v>0</v>
      </c>
      <c r="AE28" s="219">
        <f t="shared" si="15"/>
        <v>0</v>
      </c>
      <c r="AF28" s="219">
        <f t="shared" si="16"/>
        <v>0</v>
      </c>
      <c r="AG28" s="219">
        <f t="shared" si="17"/>
        <v>0</v>
      </c>
      <c r="AH28" s="219">
        <f t="shared" si="18"/>
        <v>0</v>
      </c>
      <c r="AI28" s="219">
        <f t="shared" si="19"/>
        <v>0</v>
      </c>
      <c r="AJ28" s="219">
        <f t="shared" si="20"/>
        <v>0</v>
      </c>
      <c r="AK28" s="219">
        <f t="shared" si="21"/>
        <v>0</v>
      </c>
      <c r="AL28" s="219">
        <f t="shared" si="22"/>
        <v>0</v>
      </c>
      <c r="AM28" s="219">
        <f t="shared" si="23"/>
        <v>0</v>
      </c>
      <c r="AN28" s="301">
        <f t="shared" si="24"/>
        <v>0</v>
      </c>
      <c r="AO28" s="301">
        <f t="shared" si="25"/>
        <v>0</v>
      </c>
      <c r="AP28" s="301">
        <f t="shared" si="26"/>
        <v>0</v>
      </c>
      <c r="AQ28" s="301">
        <f t="shared" si="27"/>
        <v>0</v>
      </c>
      <c r="AR28" s="301">
        <f t="shared" si="28"/>
        <v>0</v>
      </c>
      <c r="AS28" s="301">
        <f t="shared" si="29"/>
        <v>0</v>
      </c>
      <c r="AT28" s="302">
        <f t="shared" si="30"/>
        <v>0</v>
      </c>
      <c r="AU28" s="302">
        <f t="shared" si="31"/>
        <v>0</v>
      </c>
      <c r="AV28" s="81">
        <f t="shared" si="32"/>
        <v>0</v>
      </c>
      <c r="AW28" s="82">
        <f t="shared" si="33"/>
        <v>0</v>
      </c>
      <c r="AX28" s="81">
        <f t="shared" si="34"/>
        <v>0</v>
      </c>
      <c r="AY28" s="83">
        <f t="shared" si="35"/>
        <v>0</v>
      </c>
      <c r="AZ28" s="83">
        <f t="shared" si="36"/>
        <v>0</v>
      </c>
      <c r="BA28" s="82">
        <f>IF(OR(B28=Feiertage!$A$16,B28=Feiertage!$A$19),U28*Zuschläge_24_31/100,IF(AZ28&gt;0,AZ28*Feiertag_mit/100,IF(AX28&gt;0,AX28*Zuschläge_Sa/100,IF(AY28&gt;0,AY28*Zuschlag_So/100,0))))</f>
        <v>0</v>
      </c>
      <c r="BB28" s="82">
        <f>IF(AND(B28&lt;&gt;0,G28=Voreinstellung_Übersicht!$D$41),IF(EG=1,W28*Über_klein/100,IF(EG=2,W28*Über_groß/100,"Fehler")),0)</f>
        <v>0</v>
      </c>
      <c r="BC28" s="299">
        <f t="shared" ca="1" si="41"/>
        <v>0</v>
      </c>
      <c r="BD28" s="219">
        <f t="shared" ca="1" si="37"/>
        <v>1</v>
      </c>
      <c r="BE28" s="303">
        <f ca="1">IF(B28="","",INDIRECT(ADDRESS(MATCH(B28,Soll_AZ,1)+MATCH("Arbeitszeit 1 ab",Voreinstellung_Übersicht!B:B,0)-1,4,,,"Voreinstellung_Übersicht"),TRUE))</f>
        <v>1.6666666666666665</v>
      </c>
      <c r="BF28" s="1">
        <f t="shared" si="42"/>
        <v>0</v>
      </c>
    </row>
    <row r="29" spans="1:58" s="1" customFormat="1" ht="15" x14ac:dyDescent="0.3">
      <c r="A29" s="218">
        <f t="shared" si="0"/>
        <v>30</v>
      </c>
      <c r="B29" s="47">
        <f t="shared" si="38"/>
        <v>42206</v>
      </c>
      <c r="C29" s="219">
        <f t="shared" si="1"/>
        <v>1</v>
      </c>
      <c r="D29" s="220" t="str">
        <f t="shared" si="2"/>
        <v/>
      </c>
      <c r="E29" s="298" t="str">
        <f t="shared" si="3"/>
        <v/>
      </c>
      <c r="F29" s="87">
        <f t="shared" si="4"/>
        <v>42206</v>
      </c>
      <c r="G29" s="147"/>
      <c r="H29" s="74"/>
      <c r="I29" s="75"/>
      <c r="J29" s="221">
        <f t="shared" si="5"/>
        <v>0</v>
      </c>
      <c r="K29" s="76"/>
      <c r="L29" s="221">
        <f t="shared" si="43"/>
        <v>0</v>
      </c>
      <c r="M29" s="74"/>
      <c r="N29" s="75"/>
      <c r="O29" s="221">
        <f t="shared" si="6"/>
        <v>0</v>
      </c>
      <c r="P29" s="76"/>
      <c r="Q29" s="221">
        <f t="shared" si="44"/>
        <v>0</v>
      </c>
      <c r="R29" s="221">
        <f t="shared" si="45"/>
        <v>0</v>
      </c>
      <c r="S29" s="221">
        <f t="shared" si="7"/>
        <v>0</v>
      </c>
      <c r="T29" s="79">
        <f t="shared" si="8"/>
        <v>0</v>
      </c>
      <c r="U29" s="79">
        <f t="shared" si="39"/>
        <v>0</v>
      </c>
      <c r="V29" s="80">
        <f t="shared" ca="1" si="9"/>
        <v>0.33333333329999998</v>
      </c>
      <c r="W29" s="249" t="str">
        <f t="shared" ca="1" si="10"/>
        <v/>
      </c>
      <c r="X29" s="293"/>
      <c r="Y29" s="221">
        <f t="shared" si="11"/>
        <v>0</v>
      </c>
      <c r="Z29" s="299">
        <f ca="1">IF(B29="","",INDIRECT(ADDRESS(MATCH(B29,Soll_AZ,1)+MATCH("Arbeitszeit 1 ab",Voreinstellung_Übersicht!B:B,0)-1,WEEKDAY(B29,2)+4,,,"Voreinstellung_Übersicht"),TRUE))</f>
        <v>0.33333333333333331</v>
      </c>
      <c r="AA29" s="300">
        <f t="shared" ca="1" si="40"/>
        <v>0</v>
      </c>
      <c r="AB29" s="219">
        <f t="shared" si="12"/>
        <v>0</v>
      </c>
      <c r="AC29" s="219">
        <f t="shared" si="13"/>
        <v>0</v>
      </c>
      <c r="AD29" s="219">
        <f t="shared" si="14"/>
        <v>0</v>
      </c>
      <c r="AE29" s="219">
        <f t="shared" si="15"/>
        <v>0</v>
      </c>
      <c r="AF29" s="219">
        <f t="shared" si="16"/>
        <v>0</v>
      </c>
      <c r="AG29" s="219">
        <f t="shared" si="17"/>
        <v>0</v>
      </c>
      <c r="AH29" s="219">
        <f t="shared" si="18"/>
        <v>0</v>
      </c>
      <c r="AI29" s="219">
        <f t="shared" si="19"/>
        <v>0</v>
      </c>
      <c r="AJ29" s="219">
        <f t="shared" si="20"/>
        <v>0</v>
      </c>
      <c r="AK29" s="219">
        <f t="shared" si="21"/>
        <v>0</v>
      </c>
      <c r="AL29" s="219">
        <f t="shared" si="22"/>
        <v>0</v>
      </c>
      <c r="AM29" s="219">
        <f t="shared" si="23"/>
        <v>0</v>
      </c>
      <c r="AN29" s="301">
        <f t="shared" si="24"/>
        <v>0</v>
      </c>
      <c r="AO29" s="301">
        <f t="shared" si="25"/>
        <v>0</v>
      </c>
      <c r="AP29" s="301">
        <f t="shared" si="26"/>
        <v>0</v>
      </c>
      <c r="AQ29" s="301">
        <f t="shared" si="27"/>
        <v>0</v>
      </c>
      <c r="AR29" s="301">
        <f t="shared" si="28"/>
        <v>0</v>
      </c>
      <c r="AS29" s="301">
        <f t="shared" si="29"/>
        <v>0</v>
      </c>
      <c r="AT29" s="302">
        <f t="shared" si="30"/>
        <v>0</v>
      </c>
      <c r="AU29" s="302">
        <f t="shared" si="31"/>
        <v>0</v>
      </c>
      <c r="AV29" s="81">
        <f t="shared" si="32"/>
        <v>0</v>
      </c>
      <c r="AW29" s="82">
        <f t="shared" si="33"/>
        <v>0</v>
      </c>
      <c r="AX29" s="81">
        <f t="shared" si="34"/>
        <v>0</v>
      </c>
      <c r="AY29" s="83">
        <f t="shared" si="35"/>
        <v>0</v>
      </c>
      <c r="AZ29" s="83">
        <f t="shared" si="36"/>
        <v>0</v>
      </c>
      <c r="BA29" s="82">
        <f>IF(OR(B29=Feiertage!$A$16,B29=Feiertage!$A$19),U29*Zuschläge_24_31/100,IF(AZ29&gt;0,AZ29*Feiertag_mit/100,IF(AX29&gt;0,AX29*Zuschläge_Sa/100,IF(AY29&gt;0,AY29*Zuschlag_So/100,0))))</f>
        <v>0</v>
      </c>
      <c r="BB29" s="82">
        <f>IF(AND(B29&lt;&gt;0,G29=Voreinstellung_Übersicht!$D$41),IF(EG=1,W29*Über_klein/100,IF(EG=2,W29*Über_groß/100,"Fehler")),0)</f>
        <v>0</v>
      </c>
      <c r="BC29" s="299">
        <f t="shared" ca="1" si="41"/>
        <v>0</v>
      </c>
      <c r="BD29" s="219">
        <f t="shared" ca="1" si="37"/>
        <v>1</v>
      </c>
      <c r="BE29" s="303">
        <f ca="1">IF(B29="","",INDIRECT(ADDRESS(MATCH(B29,Soll_AZ,1)+MATCH("Arbeitszeit 1 ab",Voreinstellung_Übersicht!B:B,0)-1,4,,,"Voreinstellung_Übersicht"),TRUE))</f>
        <v>1.6666666666666665</v>
      </c>
      <c r="BF29" s="1">
        <f t="shared" si="42"/>
        <v>0</v>
      </c>
    </row>
    <row r="30" spans="1:58" s="1" customFormat="1" ht="15" x14ac:dyDescent="0.3">
      <c r="A30" s="218">
        <f t="shared" si="0"/>
        <v>30</v>
      </c>
      <c r="B30" s="47">
        <f t="shared" si="38"/>
        <v>42207</v>
      </c>
      <c r="C30" s="219">
        <f t="shared" si="1"/>
        <v>1</v>
      </c>
      <c r="D30" s="220" t="str">
        <f t="shared" si="2"/>
        <v/>
      </c>
      <c r="E30" s="298" t="str">
        <f t="shared" si="3"/>
        <v/>
      </c>
      <c r="F30" s="87">
        <f t="shared" si="4"/>
        <v>42207</v>
      </c>
      <c r="G30" s="147"/>
      <c r="H30" s="74"/>
      <c r="I30" s="75"/>
      <c r="J30" s="221">
        <f t="shared" si="5"/>
        <v>0</v>
      </c>
      <c r="K30" s="76"/>
      <c r="L30" s="221">
        <f t="shared" si="43"/>
        <v>0</v>
      </c>
      <c r="M30" s="74"/>
      <c r="N30" s="75"/>
      <c r="O30" s="221">
        <f t="shared" si="6"/>
        <v>0</v>
      </c>
      <c r="P30" s="76"/>
      <c r="Q30" s="221">
        <f t="shared" si="44"/>
        <v>0</v>
      </c>
      <c r="R30" s="221">
        <f t="shared" si="45"/>
        <v>0</v>
      </c>
      <c r="S30" s="221">
        <f t="shared" si="7"/>
        <v>0</v>
      </c>
      <c r="T30" s="79">
        <f t="shared" si="8"/>
        <v>0</v>
      </c>
      <c r="U30" s="79">
        <f t="shared" si="39"/>
        <v>0</v>
      </c>
      <c r="V30" s="80">
        <f t="shared" ca="1" si="9"/>
        <v>0.33333333329999998</v>
      </c>
      <c r="W30" s="249" t="str">
        <f t="shared" ca="1" si="10"/>
        <v/>
      </c>
      <c r="X30" s="293"/>
      <c r="Y30" s="221">
        <f t="shared" si="11"/>
        <v>0</v>
      </c>
      <c r="Z30" s="299">
        <f ca="1">IF(B30="","",INDIRECT(ADDRESS(MATCH(B30,Soll_AZ,1)+MATCH("Arbeitszeit 1 ab",Voreinstellung_Übersicht!B:B,0)-1,WEEKDAY(B30,2)+4,,,"Voreinstellung_Übersicht"),TRUE))</f>
        <v>0.33333333333333331</v>
      </c>
      <c r="AA30" s="300">
        <f t="shared" ca="1" si="40"/>
        <v>0</v>
      </c>
      <c r="AB30" s="219">
        <f t="shared" si="12"/>
        <v>0</v>
      </c>
      <c r="AC30" s="219">
        <f t="shared" si="13"/>
        <v>0</v>
      </c>
      <c r="AD30" s="219">
        <f t="shared" si="14"/>
        <v>0</v>
      </c>
      <c r="AE30" s="219">
        <f t="shared" si="15"/>
        <v>0</v>
      </c>
      <c r="AF30" s="219">
        <f t="shared" si="16"/>
        <v>0</v>
      </c>
      <c r="AG30" s="219">
        <f t="shared" si="17"/>
        <v>0</v>
      </c>
      <c r="AH30" s="219">
        <f t="shared" si="18"/>
        <v>0</v>
      </c>
      <c r="AI30" s="219">
        <f t="shared" si="19"/>
        <v>0</v>
      </c>
      <c r="AJ30" s="219">
        <f t="shared" si="20"/>
        <v>0</v>
      </c>
      <c r="AK30" s="219">
        <f t="shared" si="21"/>
        <v>0</v>
      </c>
      <c r="AL30" s="219">
        <f t="shared" si="22"/>
        <v>0</v>
      </c>
      <c r="AM30" s="219">
        <f t="shared" si="23"/>
        <v>0</v>
      </c>
      <c r="AN30" s="301">
        <f t="shared" si="24"/>
        <v>0</v>
      </c>
      <c r="AO30" s="301">
        <f t="shared" si="25"/>
        <v>0</v>
      </c>
      <c r="AP30" s="301">
        <f t="shared" si="26"/>
        <v>0</v>
      </c>
      <c r="AQ30" s="301">
        <f t="shared" si="27"/>
        <v>0</v>
      </c>
      <c r="AR30" s="301">
        <f t="shared" si="28"/>
        <v>0</v>
      </c>
      <c r="AS30" s="301">
        <f t="shared" si="29"/>
        <v>0</v>
      </c>
      <c r="AT30" s="302">
        <f t="shared" si="30"/>
        <v>0</v>
      </c>
      <c r="AU30" s="302">
        <f t="shared" si="31"/>
        <v>0</v>
      </c>
      <c r="AV30" s="81">
        <f t="shared" si="32"/>
        <v>0</v>
      </c>
      <c r="AW30" s="82">
        <f t="shared" si="33"/>
        <v>0</v>
      </c>
      <c r="AX30" s="81">
        <f t="shared" si="34"/>
        <v>0</v>
      </c>
      <c r="AY30" s="83">
        <f t="shared" si="35"/>
        <v>0</v>
      </c>
      <c r="AZ30" s="83">
        <f t="shared" si="36"/>
        <v>0</v>
      </c>
      <c r="BA30" s="82">
        <f>IF(OR(B30=Feiertage!$A$16,B30=Feiertage!$A$19),U30*Zuschläge_24_31/100,IF(AZ30&gt;0,AZ30*Feiertag_mit/100,IF(AX30&gt;0,AX30*Zuschläge_Sa/100,IF(AY30&gt;0,AY30*Zuschlag_So/100,0))))</f>
        <v>0</v>
      </c>
      <c r="BB30" s="82">
        <f>IF(AND(B30&lt;&gt;0,G30=Voreinstellung_Übersicht!$D$41),IF(EG=1,W30*Über_klein/100,IF(EG=2,W30*Über_groß/100,"Fehler")),0)</f>
        <v>0</v>
      </c>
      <c r="BC30" s="299">
        <f t="shared" ca="1" si="41"/>
        <v>0</v>
      </c>
      <c r="BD30" s="219">
        <f t="shared" ca="1" si="37"/>
        <v>1</v>
      </c>
      <c r="BE30" s="303">
        <f ca="1">IF(B30="","",INDIRECT(ADDRESS(MATCH(B30,Soll_AZ,1)+MATCH("Arbeitszeit 1 ab",Voreinstellung_Übersicht!B:B,0)-1,4,,,"Voreinstellung_Übersicht"),TRUE))</f>
        <v>1.6666666666666665</v>
      </c>
      <c r="BF30" s="1">
        <f t="shared" si="42"/>
        <v>0</v>
      </c>
    </row>
    <row r="31" spans="1:58" s="1" customFormat="1" ht="15" x14ac:dyDescent="0.3">
      <c r="A31" s="218">
        <f t="shared" si="0"/>
        <v>30</v>
      </c>
      <c r="B31" s="47">
        <f t="shared" si="38"/>
        <v>42208</v>
      </c>
      <c r="C31" s="219">
        <f t="shared" si="1"/>
        <v>1</v>
      </c>
      <c r="D31" s="220" t="str">
        <f t="shared" si="2"/>
        <v/>
      </c>
      <c r="E31" s="298" t="str">
        <f t="shared" si="3"/>
        <v/>
      </c>
      <c r="F31" s="87">
        <f t="shared" si="4"/>
        <v>42208</v>
      </c>
      <c r="G31" s="147"/>
      <c r="H31" s="74"/>
      <c r="I31" s="75"/>
      <c r="J31" s="221">
        <f t="shared" si="5"/>
        <v>0</v>
      </c>
      <c r="K31" s="76"/>
      <c r="L31" s="221">
        <f t="shared" si="43"/>
        <v>0</v>
      </c>
      <c r="M31" s="74"/>
      <c r="N31" s="75"/>
      <c r="O31" s="221">
        <f t="shared" si="6"/>
        <v>0</v>
      </c>
      <c r="P31" s="76"/>
      <c r="Q31" s="221">
        <f t="shared" si="44"/>
        <v>0</v>
      </c>
      <c r="R31" s="221">
        <f t="shared" si="45"/>
        <v>0</v>
      </c>
      <c r="S31" s="221">
        <f t="shared" si="7"/>
        <v>0</v>
      </c>
      <c r="T31" s="79">
        <f t="shared" si="8"/>
        <v>0</v>
      </c>
      <c r="U31" s="79">
        <f t="shared" si="39"/>
        <v>0</v>
      </c>
      <c r="V31" s="80">
        <f t="shared" ca="1" si="9"/>
        <v>0.33333333329999998</v>
      </c>
      <c r="W31" s="249" t="str">
        <f t="shared" ca="1" si="10"/>
        <v/>
      </c>
      <c r="X31" s="293"/>
      <c r="Y31" s="221">
        <f t="shared" si="11"/>
        <v>0</v>
      </c>
      <c r="Z31" s="299">
        <f ca="1">IF(B31="","",INDIRECT(ADDRESS(MATCH(B31,Soll_AZ,1)+MATCH("Arbeitszeit 1 ab",Voreinstellung_Übersicht!B:B,0)-1,WEEKDAY(B31,2)+4,,,"Voreinstellung_Übersicht"),TRUE))</f>
        <v>0.33333333333333331</v>
      </c>
      <c r="AA31" s="300">
        <f t="shared" ca="1" si="40"/>
        <v>0</v>
      </c>
      <c r="AB31" s="219">
        <f t="shared" si="12"/>
        <v>0</v>
      </c>
      <c r="AC31" s="219">
        <f t="shared" si="13"/>
        <v>0</v>
      </c>
      <c r="AD31" s="219">
        <f t="shared" si="14"/>
        <v>0</v>
      </c>
      <c r="AE31" s="219">
        <f t="shared" si="15"/>
        <v>0</v>
      </c>
      <c r="AF31" s="219">
        <f t="shared" si="16"/>
        <v>0</v>
      </c>
      <c r="AG31" s="219">
        <f t="shared" si="17"/>
        <v>0</v>
      </c>
      <c r="AH31" s="219">
        <f t="shared" si="18"/>
        <v>0</v>
      </c>
      <c r="AI31" s="219">
        <f t="shared" si="19"/>
        <v>0</v>
      </c>
      <c r="AJ31" s="219">
        <f t="shared" si="20"/>
        <v>0</v>
      </c>
      <c r="AK31" s="219">
        <f t="shared" si="21"/>
        <v>0</v>
      </c>
      <c r="AL31" s="219">
        <f t="shared" si="22"/>
        <v>0</v>
      </c>
      <c r="AM31" s="219">
        <f t="shared" si="23"/>
        <v>0</v>
      </c>
      <c r="AN31" s="301">
        <f t="shared" si="24"/>
        <v>0</v>
      </c>
      <c r="AO31" s="301">
        <f t="shared" si="25"/>
        <v>0</v>
      </c>
      <c r="AP31" s="301">
        <f t="shared" si="26"/>
        <v>0</v>
      </c>
      <c r="AQ31" s="301">
        <f t="shared" si="27"/>
        <v>0</v>
      </c>
      <c r="AR31" s="301">
        <f t="shared" si="28"/>
        <v>0</v>
      </c>
      <c r="AS31" s="301">
        <f t="shared" si="29"/>
        <v>0</v>
      </c>
      <c r="AT31" s="302">
        <f t="shared" si="30"/>
        <v>0</v>
      </c>
      <c r="AU31" s="302">
        <f t="shared" si="31"/>
        <v>0</v>
      </c>
      <c r="AV31" s="81">
        <f t="shared" si="32"/>
        <v>0</v>
      </c>
      <c r="AW31" s="82">
        <f t="shared" si="33"/>
        <v>0</v>
      </c>
      <c r="AX31" s="81">
        <f t="shared" si="34"/>
        <v>0</v>
      </c>
      <c r="AY31" s="83">
        <f t="shared" si="35"/>
        <v>0</v>
      </c>
      <c r="AZ31" s="83">
        <f t="shared" si="36"/>
        <v>0</v>
      </c>
      <c r="BA31" s="82">
        <f>IF(OR(B31=Feiertage!$A$16,B31=Feiertage!$A$19),U31*Zuschläge_24_31/100,IF(AZ31&gt;0,AZ31*Feiertag_mit/100,IF(AX31&gt;0,AX31*Zuschläge_Sa/100,IF(AY31&gt;0,AY31*Zuschlag_So/100,0))))</f>
        <v>0</v>
      </c>
      <c r="BB31" s="82">
        <f>IF(AND(B31&lt;&gt;0,G31=Voreinstellung_Übersicht!$D$41),IF(EG=1,W31*Über_klein/100,IF(EG=2,W31*Über_groß/100,"Fehler")),0)</f>
        <v>0</v>
      </c>
      <c r="BC31" s="299">
        <f t="shared" ca="1" si="41"/>
        <v>0</v>
      </c>
      <c r="BD31" s="219">
        <f t="shared" ca="1" si="37"/>
        <v>1</v>
      </c>
      <c r="BE31" s="303">
        <f ca="1">IF(B31="","",INDIRECT(ADDRESS(MATCH(B31,Soll_AZ,1)+MATCH("Arbeitszeit 1 ab",Voreinstellung_Übersicht!B:B,0)-1,4,,,"Voreinstellung_Übersicht"),TRUE))</f>
        <v>1.6666666666666665</v>
      </c>
      <c r="BF31" s="1">
        <f t="shared" si="42"/>
        <v>0</v>
      </c>
    </row>
    <row r="32" spans="1:58" s="1" customFormat="1" ht="15" x14ac:dyDescent="0.3">
      <c r="A32" s="218">
        <f t="shared" si="0"/>
        <v>30</v>
      </c>
      <c r="B32" s="47">
        <f t="shared" si="38"/>
        <v>42209</v>
      </c>
      <c r="C32" s="219">
        <f t="shared" si="1"/>
        <v>1</v>
      </c>
      <c r="D32" s="220" t="str">
        <f t="shared" si="2"/>
        <v/>
      </c>
      <c r="E32" s="298" t="str">
        <f t="shared" si="3"/>
        <v/>
      </c>
      <c r="F32" s="87">
        <f t="shared" si="4"/>
        <v>42209</v>
      </c>
      <c r="G32" s="147"/>
      <c r="H32" s="74"/>
      <c r="I32" s="75"/>
      <c r="J32" s="221">
        <f t="shared" si="5"/>
        <v>0</v>
      </c>
      <c r="K32" s="76"/>
      <c r="L32" s="221">
        <f t="shared" si="43"/>
        <v>0</v>
      </c>
      <c r="M32" s="74"/>
      <c r="N32" s="75"/>
      <c r="O32" s="221">
        <f t="shared" si="6"/>
        <v>0</v>
      </c>
      <c r="P32" s="76"/>
      <c r="Q32" s="221">
        <f t="shared" si="44"/>
        <v>0</v>
      </c>
      <c r="R32" s="221">
        <f t="shared" si="45"/>
        <v>0</v>
      </c>
      <c r="S32" s="221">
        <f t="shared" si="7"/>
        <v>0</v>
      </c>
      <c r="T32" s="79">
        <f t="shared" si="8"/>
        <v>0</v>
      </c>
      <c r="U32" s="79">
        <f t="shared" si="39"/>
        <v>0</v>
      </c>
      <c r="V32" s="80">
        <f t="shared" ca="1" si="9"/>
        <v>0.33333333329999998</v>
      </c>
      <c r="W32" s="249" t="str">
        <f t="shared" ca="1" si="10"/>
        <v/>
      </c>
      <c r="X32" s="293"/>
      <c r="Y32" s="221">
        <f t="shared" si="11"/>
        <v>0</v>
      </c>
      <c r="Z32" s="299">
        <f ca="1">IF(B32="","",INDIRECT(ADDRESS(MATCH(B32,Soll_AZ,1)+MATCH("Arbeitszeit 1 ab",Voreinstellung_Übersicht!B:B,0)-1,WEEKDAY(B32,2)+4,,,"Voreinstellung_Übersicht"),TRUE))</f>
        <v>0.33333333333333331</v>
      </c>
      <c r="AA32" s="300">
        <f t="shared" ca="1" si="40"/>
        <v>0</v>
      </c>
      <c r="AB32" s="219">
        <f t="shared" si="12"/>
        <v>0</v>
      </c>
      <c r="AC32" s="219">
        <f t="shared" si="13"/>
        <v>0</v>
      </c>
      <c r="AD32" s="219">
        <f t="shared" si="14"/>
        <v>0</v>
      </c>
      <c r="AE32" s="219">
        <f t="shared" si="15"/>
        <v>0</v>
      </c>
      <c r="AF32" s="219">
        <f t="shared" si="16"/>
        <v>0</v>
      </c>
      <c r="AG32" s="219">
        <f t="shared" si="17"/>
        <v>0</v>
      </c>
      <c r="AH32" s="219">
        <f t="shared" si="18"/>
        <v>0</v>
      </c>
      <c r="AI32" s="219">
        <f t="shared" si="19"/>
        <v>0</v>
      </c>
      <c r="AJ32" s="219">
        <f t="shared" si="20"/>
        <v>0</v>
      </c>
      <c r="AK32" s="219">
        <f t="shared" si="21"/>
        <v>0</v>
      </c>
      <c r="AL32" s="219">
        <f t="shared" si="22"/>
        <v>0</v>
      </c>
      <c r="AM32" s="219">
        <f t="shared" si="23"/>
        <v>0</v>
      </c>
      <c r="AN32" s="301">
        <f t="shared" si="24"/>
        <v>0</v>
      </c>
      <c r="AO32" s="301">
        <f t="shared" si="25"/>
        <v>0</v>
      </c>
      <c r="AP32" s="301">
        <f t="shared" si="26"/>
        <v>0</v>
      </c>
      <c r="AQ32" s="301">
        <f t="shared" si="27"/>
        <v>0</v>
      </c>
      <c r="AR32" s="301">
        <f t="shared" si="28"/>
        <v>0</v>
      </c>
      <c r="AS32" s="301">
        <f t="shared" si="29"/>
        <v>0</v>
      </c>
      <c r="AT32" s="302">
        <f t="shared" si="30"/>
        <v>0</v>
      </c>
      <c r="AU32" s="302">
        <f t="shared" si="31"/>
        <v>0</v>
      </c>
      <c r="AV32" s="81">
        <f t="shared" si="32"/>
        <v>0</v>
      </c>
      <c r="AW32" s="82">
        <f t="shared" si="33"/>
        <v>0</v>
      </c>
      <c r="AX32" s="81">
        <f t="shared" si="34"/>
        <v>0</v>
      </c>
      <c r="AY32" s="83">
        <f t="shared" si="35"/>
        <v>0</v>
      </c>
      <c r="AZ32" s="83">
        <f t="shared" si="36"/>
        <v>0</v>
      </c>
      <c r="BA32" s="82">
        <f>IF(OR(B32=Feiertage!$A$16,B32=Feiertage!$A$19),U32*Zuschläge_24_31/100,IF(AZ32&gt;0,AZ32*Feiertag_mit/100,IF(AX32&gt;0,AX32*Zuschläge_Sa/100,IF(AY32&gt;0,AY32*Zuschlag_So/100,0))))</f>
        <v>0</v>
      </c>
      <c r="BB32" s="82">
        <f>IF(AND(B32&lt;&gt;0,G32=Voreinstellung_Übersicht!$D$41),IF(EG=1,W32*Über_klein/100,IF(EG=2,W32*Über_groß/100,"Fehler")),0)</f>
        <v>0</v>
      </c>
      <c r="BC32" s="299">
        <f t="shared" ca="1" si="41"/>
        <v>0</v>
      </c>
      <c r="BD32" s="219">
        <f t="shared" ca="1" si="37"/>
        <v>1</v>
      </c>
      <c r="BE32" s="303">
        <f ca="1">IF(B32="","",INDIRECT(ADDRESS(MATCH(B32,Soll_AZ,1)+MATCH("Arbeitszeit 1 ab",Voreinstellung_Übersicht!B:B,0)-1,4,,,"Voreinstellung_Übersicht"),TRUE))</f>
        <v>1.6666666666666665</v>
      </c>
      <c r="BF32" s="1">
        <f t="shared" si="42"/>
        <v>0</v>
      </c>
    </row>
    <row r="33" spans="1:104" s="1" customFormat="1" ht="15" x14ac:dyDescent="0.3">
      <c r="A33" s="218">
        <f t="shared" si="0"/>
        <v>30</v>
      </c>
      <c r="B33" s="47">
        <f t="shared" si="38"/>
        <v>42210</v>
      </c>
      <c r="C33" s="219">
        <f t="shared" si="1"/>
        <v>1</v>
      </c>
      <c r="D33" s="220" t="str">
        <f t="shared" si="2"/>
        <v/>
      </c>
      <c r="E33" s="298" t="str">
        <f t="shared" si="3"/>
        <v/>
      </c>
      <c r="F33" s="87">
        <f t="shared" si="4"/>
        <v>42210</v>
      </c>
      <c r="G33" s="147"/>
      <c r="H33" s="74"/>
      <c r="I33" s="75"/>
      <c r="J33" s="221">
        <f t="shared" si="5"/>
        <v>0</v>
      </c>
      <c r="K33" s="76"/>
      <c r="L33" s="221">
        <f t="shared" si="43"/>
        <v>0</v>
      </c>
      <c r="M33" s="74"/>
      <c r="N33" s="75"/>
      <c r="O33" s="221">
        <f t="shared" si="6"/>
        <v>0</v>
      </c>
      <c r="P33" s="76"/>
      <c r="Q33" s="221">
        <f t="shared" si="44"/>
        <v>0</v>
      </c>
      <c r="R33" s="221">
        <f t="shared" si="45"/>
        <v>0</v>
      </c>
      <c r="S33" s="221">
        <f t="shared" si="7"/>
        <v>0</v>
      </c>
      <c r="T33" s="79">
        <f t="shared" si="8"/>
        <v>0</v>
      </c>
      <c r="U33" s="79">
        <f t="shared" si="39"/>
        <v>0</v>
      </c>
      <c r="V33" s="80">
        <f t="shared" ca="1" si="9"/>
        <v>0.33333333329999998</v>
      </c>
      <c r="W33" s="249" t="str">
        <f t="shared" ca="1" si="10"/>
        <v/>
      </c>
      <c r="X33" s="293"/>
      <c r="Y33" s="221">
        <f t="shared" si="11"/>
        <v>0</v>
      </c>
      <c r="Z33" s="299">
        <f ca="1">IF(B33="","",INDIRECT(ADDRESS(MATCH(B33,Soll_AZ,1)+MATCH("Arbeitszeit 1 ab",Voreinstellung_Übersicht!B:B,0)-1,WEEKDAY(B33,2)+4,,,"Voreinstellung_Übersicht"),TRUE))</f>
        <v>0.33333333333333331</v>
      </c>
      <c r="AA33" s="300">
        <f t="shared" ca="1" si="40"/>
        <v>0</v>
      </c>
      <c r="AB33" s="219">
        <f t="shared" si="12"/>
        <v>0</v>
      </c>
      <c r="AC33" s="219">
        <f t="shared" si="13"/>
        <v>0</v>
      </c>
      <c r="AD33" s="219">
        <f t="shared" si="14"/>
        <v>0</v>
      </c>
      <c r="AE33" s="219">
        <f t="shared" si="15"/>
        <v>0</v>
      </c>
      <c r="AF33" s="219">
        <f t="shared" si="16"/>
        <v>0</v>
      </c>
      <c r="AG33" s="219">
        <f t="shared" si="17"/>
        <v>0</v>
      </c>
      <c r="AH33" s="219">
        <f t="shared" si="18"/>
        <v>0</v>
      </c>
      <c r="AI33" s="219">
        <f t="shared" si="19"/>
        <v>0</v>
      </c>
      <c r="AJ33" s="219">
        <f t="shared" si="20"/>
        <v>0</v>
      </c>
      <c r="AK33" s="219">
        <f t="shared" si="21"/>
        <v>0</v>
      </c>
      <c r="AL33" s="219">
        <f t="shared" si="22"/>
        <v>0</v>
      </c>
      <c r="AM33" s="219">
        <f t="shared" si="23"/>
        <v>0</v>
      </c>
      <c r="AN33" s="301">
        <f t="shared" si="24"/>
        <v>0</v>
      </c>
      <c r="AO33" s="301">
        <f t="shared" si="25"/>
        <v>0</v>
      </c>
      <c r="AP33" s="301">
        <f t="shared" si="26"/>
        <v>0</v>
      </c>
      <c r="AQ33" s="301">
        <f t="shared" si="27"/>
        <v>0</v>
      </c>
      <c r="AR33" s="301">
        <f t="shared" si="28"/>
        <v>0</v>
      </c>
      <c r="AS33" s="301">
        <f t="shared" si="29"/>
        <v>0</v>
      </c>
      <c r="AT33" s="302">
        <f t="shared" si="30"/>
        <v>0</v>
      </c>
      <c r="AU33" s="302">
        <f t="shared" si="31"/>
        <v>0</v>
      </c>
      <c r="AV33" s="81">
        <f t="shared" si="32"/>
        <v>0</v>
      </c>
      <c r="AW33" s="82">
        <f t="shared" si="33"/>
        <v>0</v>
      </c>
      <c r="AX33" s="81">
        <f t="shared" si="34"/>
        <v>0</v>
      </c>
      <c r="AY33" s="83">
        <f t="shared" si="35"/>
        <v>0</v>
      </c>
      <c r="AZ33" s="83">
        <f t="shared" si="36"/>
        <v>0</v>
      </c>
      <c r="BA33" s="82">
        <f>IF(OR(B33=Feiertage!$A$16,B33=Feiertage!$A$19),U33*Zuschläge_24_31/100,IF(AZ33&gt;0,AZ33*Feiertag_mit/100,IF(AX33&gt;0,AX33*Zuschläge_Sa/100,IF(AY33&gt;0,AY33*Zuschlag_So/100,0))))</f>
        <v>0</v>
      </c>
      <c r="BB33" s="82">
        <f>IF(AND(B33&lt;&gt;0,G33=Voreinstellung_Übersicht!$D$41),IF(EG=1,W33*Über_klein/100,IF(EG=2,W33*Über_groß/100,"Fehler")),0)</f>
        <v>0</v>
      </c>
      <c r="BC33" s="299">
        <f t="shared" ca="1" si="41"/>
        <v>0</v>
      </c>
      <c r="BD33" s="219">
        <f t="shared" ca="1" si="37"/>
        <v>1</v>
      </c>
      <c r="BE33" s="303">
        <f ca="1">IF(B33="","",INDIRECT(ADDRESS(MATCH(B33,Soll_AZ,1)+MATCH("Arbeitszeit 1 ab",Voreinstellung_Übersicht!B:B,0)-1,4,,,"Voreinstellung_Übersicht"),TRUE))</f>
        <v>1.6666666666666665</v>
      </c>
      <c r="BF33" s="1">
        <f t="shared" si="42"/>
        <v>0</v>
      </c>
    </row>
    <row r="34" spans="1:104" s="1" customFormat="1" ht="15" x14ac:dyDescent="0.3">
      <c r="A34" s="218">
        <f t="shared" si="0"/>
        <v>30</v>
      </c>
      <c r="B34" s="47">
        <f t="shared" si="38"/>
        <v>42211</v>
      </c>
      <c r="C34" s="219">
        <f t="shared" si="1"/>
        <v>0</v>
      </c>
      <c r="D34" s="220" t="str">
        <f t="shared" si="2"/>
        <v/>
      </c>
      <c r="E34" s="298" t="str">
        <f t="shared" si="3"/>
        <v/>
      </c>
      <c r="F34" s="87">
        <f t="shared" si="4"/>
        <v>42211</v>
      </c>
      <c r="G34" s="147"/>
      <c r="H34" s="74"/>
      <c r="I34" s="75"/>
      <c r="J34" s="221">
        <f t="shared" si="5"/>
        <v>0</v>
      </c>
      <c r="K34" s="76"/>
      <c r="L34" s="221">
        <f t="shared" si="43"/>
        <v>0</v>
      </c>
      <c r="M34" s="74"/>
      <c r="N34" s="75"/>
      <c r="O34" s="221">
        <f t="shared" si="6"/>
        <v>0</v>
      </c>
      <c r="P34" s="76"/>
      <c r="Q34" s="221">
        <f t="shared" si="44"/>
        <v>0</v>
      </c>
      <c r="R34" s="221">
        <f t="shared" si="45"/>
        <v>0</v>
      </c>
      <c r="S34" s="221">
        <f t="shared" si="7"/>
        <v>0</v>
      </c>
      <c r="T34" s="79">
        <f t="shared" si="8"/>
        <v>0</v>
      </c>
      <c r="U34" s="79">
        <f t="shared" si="39"/>
        <v>0</v>
      </c>
      <c r="V34" s="80">
        <f t="shared" ca="1" si="9"/>
        <v>0</v>
      </c>
      <c r="W34" s="249" t="str">
        <f t="shared" ca="1" si="10"/>
        <v/>
      </c>
      <c r="X34" s="293"/>
      <c r="Y34" s="221">
        <f t="shared" si="11"/>
        <v>0</v>
      </c>
      <c r="Z34" s="299">
        <f ca="1">IF(B34="","",INDIRECT(ADDRESS(MATCH(B34,Soll_AZ,1)+MATCH("Arbeitszeit 1 ab",Voreinstellung_Übersicht!B:B,0)-1,WEEKDAY(B34,2)+4,,,"Voreinstellung_Übersicht"),TRUE))</f>
        <v>0</v>
      </c>
      <c r="AA34" s="300">
        <f t="shared" ca="1" si="40"/>
        <v>0</v>
      </c>
      <c r="AB34" s="219">
        <f t="shared" si="12"/>
        <v>0</v>
      </c>
      <c r="AC34" s="219">
        <f t="shared" si="13"/>
        <v>0</v>
      </c>
      <c r="AD34" s="219">
        <f t="shared" si="14"/>
        <v>0</v>
      </c>
      <c r="AE34" s="219">
        <f t="shared" si="15"/>
        <v>0</v>
      </c>
      <c r="AF34" s="219">
        <f t="shared" si="16"/>
        <v>0</v>
      </c>
      <c r="AG34" s="219">
        <f t="shared" si="17"/>
        <v>0</v>
      </c>
      <c r="AH34" s="219">
        <f t="shared" si="18"/>
        <v>0</v>
      </c>
      <c r="AI34" s="219">
        <f t="shared" si="19"/>
        <v>0</v>
      </c>
      <c r="AJ34" s="219">
        <f t="shared" si="20"/>
        <v>0</v>
      </c>
      <c r="AK34" s="219">
        <f t="shared" si="21"/>
        <v>0</v>
      </c>
      <c r="AL34" s="219">
        <f t="shared" si="22"/>
        <v>0</v>
      </c>
      <c r="AM34" s="219">
        <f t="shared" si="23"/>
        <v>0</v>
      </c>
      <c r="AN34" s="301">
        <f t="shared" si="24"/>
        <v>0</v>
      </c>
      <c r="AO34" s="301">
        <f t="shared" si="25"/>
        <v>0</v>
      </c>
      <c r="AP34" s="301">
        <f t="shared" si="26"/>
        <v>0</v>
      </c>
      <c r="AQ34" s="301">
        <f t="shared" si="27"/>
        <v>0</v>
      </c>
      <c r="AR34" s="301">
        <f t="shared" si="28"/>
        <v>0</v>
      </c>
      <c r="AS34" s="301">
        <f t="shared" si="29"/>
        <v>0</v>
      </c>
      <c r="AT34" s="302">
        <f t="shared" si="30"/>
        <v>0</v>
      </c>
      <c r="AU34" s="302">
        <f t="shared" si="31"/>
        <v>0</v>
      </c>
      <c r="AV34" s="81">
        <f t="shared" si="32"/>
        <v>0</v>
      </c>
      <c r="AW34" s="82">
        <f t="shared" si="33"/>
        <v>0</v>
      </c>
      <c r="AX34" s="81">
        <f t="shared" si="34"/>
        <v>0</v>
      </c>
      <c r="AY34" s="83">
        <f t="shared" si="35"/>
        <v>0</v>
      </c>
      <c r="AZ34" s="83">
        <f t="shared" si="36"/>
        <v>0</v>
      </c>
      <c r="BA34" s="82">
        <f>IF(OR(B34=Feiertage!$A$16,B34=Feiertage!$A$19),U34*Zuschläge_24_31/100,IF(AZ34&gt;0,AZ34*Feiertag_mit/100,IF(AX34&gt;0,AX34*Zuschläge_Sa/100,IF(AY34&gt;0,AY34*Zuschlag_So/100,0))))</f>
        <v>0</v>
      </c>
      <c r="BB34" s="82">
        <f>IF(AND(B34&lt;&gt;0,G34=Voreinstellung_Übersicht!$D$41),IF(EG=1,W34*Über_klein/100,IF(EG=2,W34*Über_groß/100,"Fehler")),0)</f>
        <v>0</v>
      </c>
      <c r="BC34" s="299">
        <f t="shared" ca="1" si="41"/>
        <v>0</v>
      </c>
      <c r="BD34" s="219">
        <f t="shared" ca="1" si="37"/>
        <v>1</v>
      </c>
      <c r="BE34" s="303">
        <f ca="1">IF(B34="","",INDIRECT(ADDRESS(MATCH(B34,Soll_AZ,1)+MATCH("Arbeitszeit 1 ab",Voreinstellung_Übersicht!B:B,0)-1,4,,,"Voreinstellung_Übersicht"),TRUE))</f>
        <v>1.6666666666666665</v>
      </c>
      <c r="BF34" s="1">
        <f t="shared" si="42"/>
        <v>0</v>
      </c>
    </row>
    <row r="35" spans="1:104" s="1" customFormat="1" ht="15" x14ac:dyDescent="0.3">
      <c r="A35" s="218">
        <f t="shared" si="0"/>
        <v>31</v>
      </c>
      <c r="B35" s="47">
        <f t="shared" si="38"/>
        <v>42212</v>
      </c>
      <c r="C35" s="219">
        <f t="shared" si="1"/>
        <v>0</v>
      </c>
      <c r="D35" s="220" t="str">
        <f t="shared" si="2"/>
        <v/>
      </c>
      <c r="E35" s="298" t="str">
        <f t="shared" si="3"/>
        <v/>
      </c>
      <c r="F35" s="87">
        <f t="shared" si="4"/>
        <v>42212</v>
      </c>
      <c r="G35" s="147"/>
      <c r="H35" s="74"/>
      <c r="I35" s="75"/>
      <c r="J35" s="221">
        <f t="shared" si="5"/>
        <v>0</v>
      </c>
      <c r="K35" s="76"/>
      <c r="L35" s="221">
        <f t="shared" si="43"/>
        <v>0</v>
      </c>
      <c r="M35" s="74"/>
      <c r="N35" s="75"/>
      <c r="O35" s="221">
        <f t="shared" si="6"/>
        <v>0</v>
      </c>
      <c r="P35" s="76"/>
      <c r="Q35" s="221">
        <f t="shared" si="44"/>
        <v>0</v>
      </c>
      <c r="R35" s="221">
        <f t="shared" si="45"/>
        <v>0</v>
      </c>
      <c r="S35" s="221">
        <f t="shared" si="7"/>
        <v>0</v>
      </c>
      <c r="T35" s="79">
        <f t="shared" si="8"/>
        <v>0</v>
      </c>
      <c r="U35" s="79">
        <f t="shared" si="39"/>
        <v>0</v>
      </c>
      <c r="V35" s="80">
        <f t="shared" ca="1" si="9"/>
        <v>0</v>
      </c>
      <c r="W35" s="249" t="str">
        <f t="shared" ca="1" si="10"/>
        <v/>
      </c>
      <c r="X35" s="293"/>
      <c r="Y35" s="221">
        <f t="shared" si="11"/>
        <v>0</v>
      </c>
      <c r="Z35" s="299">
        <f ca="1">IF(B35="","",INDIRECT(ADDRESS(MATCH(B35,Soll_AZ,1)+MATCH("Arbeitszeit 1 ab",Voreinstellung_Übersicht!B:B,0)-1,WEEKDAY(B35,2)+4,,,"Voreinstellung_Übersicht"),TRUE))</f>
        <v>0</v>
      </c>
      <c r="AA35" s="300">
        <f t="shared" ca="1" si="40"/>
        <v>0</v>
      </c>
      <c r="AB35" s="219">
        <f t="shared" si="12"/>
        <v>0</v>
      </c>
      <c r="AC35" s="219">
        <f t="shared" si="13"/>
        <v>0</v>
      </c>
      <c r="AD35" s="219">
        <f t="shared" si="14"/>
        <v>0</v>
      </c>
      <c r="AE35" s="219">
        <f t="shared" si="15"/>
        <v>0</v>
      </c>
      <c r="AF35" s="219">
        <f t="shared" si="16"/>
        <v>0</v>
      </c>
      <c r="AG35" s="219">
        <f t="shared" si="17"/>
        <v>0</v>
      </c>
      <c r="AH35" s="219">
        <f t="shared" si="18"/>
        <v>0</v>
      </c>
      <c r="AI35" s="219">
        <f t="shared" si="19"/>
        <v>0</v>
      </c>
      <c r="AJ35" s="219">
        <f t="shared" si="20"/>
        <v>0</v>
      </c>
      <c r="AK35" s="219">
        <f t="shared" si="21"/>
        <v>0</v>
      </c>
      <c r="AL35" s="219">
        <f t="shared" si="22"/>
        <v>0</v>
      </c>
      <c r="AM35" s="219">
        <f t="shared" si="23"/>
        <v>0</v>
      </c>
      <c r="AN35" s="301">
        <f t="shared" si="24"/>
        <v>0</v>
      </c>
      <c r="AO35" s="301">
        <f t="shared" si="25"/>
        <v>0</v>
      </c>
      <c r="AP35" s="301">
        <f t="shared" si="26"/>
        <v>0</v>
      </c>
      <c r="AQ35" s="301">
        <f t="shared" si="27"/>
        <v>0</v>
      </c>
      <c r="AR35" s="301">
        <f t="shared" si="28"/>
        <v>0</v>
      </c>
      <c r="AS35" s="301">
        <f t="shared" si="29"/>
        <v>0</v>
      </c>
      <c r="AT35" s="302">
        <f t="shared" si="30"/>
        <v>0</v>
      </c>
      <c r="AU35" s="302">
        <f t="shared" si="31"/>
        <v>0</v>
      </c>
      <c r="AV35" s="81">
        <f t="shared" si="32"/>
        <v>0</v>
      </c>
      <c r="AW35" s="82">
        <f t="shared" si="33"/>
        <v>0</v>
      </c>
      <c r="AX35" s="81">
        <f t="shared" si="34"/>
        <v>0</v>
      </c>
      <c r="AY35" s="83">
        <f t="shared" si="35"/>
        <v>0</v>
      </c>
      <c r="AZ35" s="83">
        <f t="shared" si="36"/>
        <v>0</v>
      </c>
      <c r="BA35" s="82">
        <f>IF(OR(B35=Feiertage!$A$16,B35=Feiertage!$A$19),U35*Zuschläge_24_31/100,IF(AZ35&gt;0,AZ35*Feiertag_mit/100,IF(AX35&gt;0,AX35*Zuschläge_Sa/100,IF(AY35&gt;0,AY35*Zuschlag_So/100,0))))</f>
        <v>0</v>
      </c>
      <c r="BB35" s="82">
        <f>IF(AND(B35&lt;&gt;0,G35=Voreinstellung_Übersicht!$D$41),IF(EG=1,W35*Über_klein/100,IF(EG=2,W35*Über_groß/100,"Fehler")),0)</f>
        <v>0</v>
      </c>
      <c r="BC35" s="299">
        <f t="shared" ca="1" si="41"/>
        <v>0</v>
      </c>
      <c r="BD35" s="219">
        <f t="shared" ca="1" si="37"/>
        <v>1</v>
      </c>
      <c r="BE35" s="303">
        <f ca="1">IF(B35="","",INDIRECT(ADDRESS(MATCH(B35,Soll_AZ,1)+MATCH("Arbeitszeit 1 ab",Voreinstellung_Übersicht!B:B,0)-1,4,,,"Voreinstellung_Übersicht"),TRUE))</f>
        <v>1.6666666666666665</v>
      </c>
      <c r="BF35" s="1">
        <f t="shared" si="42"/>
        <v>0</v>
      </c>
    </row>
    <row r="36" spans="1:104" s="1" customFormat="1" ht="15" x14ac:dyDescent="0.3">
      <c r="A36" s="218">
        <f t="shared" si="0"/>
        <v>31</v>
      </c>
      <c r="B36" s="47">
        <f t="shared" si="38"/>
        <v>42213</v>
      </c>
      <c r="C36" s="219">
        <f t="shared" si="1"/>
        <v>1</v>
      </c>
      <c r="D36" s="220" t="str">
        <f t="shared" si="2"/>
        <v/>
      </c>
      <c r="E36" s="298" t="str">
        <f t="shared" si="3"/>
        <v/>
      </c>
      <c r="F36" s="87">
        <f t="shared" si="4"/>
        <v>42213</v>
      </c>
      <c r="G36" s="147"/>
      <c r="H36" s="74"/>
      <c r="I36" s="75"/>
      <c r="J36" s="221">
        <f t="shared" si="5"/>
        <v>0</v>
      </c>
      <c r="K36" s="76"/>
      <c r="L36" s="221">
        <f t="shared" si="43"/>
        <v>0</v>
      </c>
      <c r="M36" s="74"/>
      <c r="N36" s="75"/>
      <c r="O36" s="221">
        <f t="shared" si="6"/>
        <v>0</v>
      </c>
      <c r="P36" s="76"/>
      <c r="Q36" s="221">
        <f t="shared" si="44"/>
        <v>0</v>
      </c>
      <c r="R36" s="221">
        <f t="shared" si="45"/>
        <v>0</v>
      </c>
      <c r="S36" s="221">
        <f t="shared" si="7"/>
        <v>0</v>
      </c>
      <c r="T36" s="79">
        <f t="shared" si="8"/>
        <v>0</v>
      </c>
      <c r="U36" s="79">
        <f t="shared" si="39"/>
        <v>0</v>
      </c>
      <c r="V36" s="80">
        <f t="shared" ca="1" si="9"/>
        <v>0.33333333329999998</v>
      </c>
      <c r="W36" s="249" t="str">
        <f t="shared" ca="1" si="10"/>
        <v/>
      </c>
      <c r="X36" s="293"/>
      <c r="Y36" s="221">
        <f t="shared" si="11"/>
        <v>0</v>
      </c>
      <c r="Z36" s="299">
        <f ca="1">IF(B36="","",INDIRECT(ADDRESS(MATCH(B36,Soll_AZ,1)+MATCH("Arbeitszeit 1 ab",Voreinstellung_Übersicht!B:B,0)-1,WEEKDAY(B36,2)+4,,,"Voreinstellung_Übersicht"),TRUE))</f>
        <v>0.33333333333333331</v>
      </c>
      <c r="AA36" s="300">
        <f t="shared" ca="1" si="40"/>
        <v>0</v>
      </c>
      <c r="AB36" s="219">
        <f t="shared" si="12"/>
        <v>0</v>
      </c>
      <c r="AC36" s="219">
        <f t="shared" si="13"/>
        <v>0</v>
      </c>
      <c r="AD36" s="219">
        <f t="shared" si="14"/>
        <v>0</v>
      </c>
      <c r="AE36" s="219">
        <f t="shared" si="15"/>
        <v>0</v>
      </c>
      <c r="AF36" s="219">
        <f t="shared" si="16"/>
        <v>0</v>
      </c>
      <c r="AG36" s="219">
        <f t="shared" si="17"/>
        <v>0</v>
      </c>
      <c r="AH36" s="219">
        <f t="shared" si="18"/>
        <v>0</v>
      </c>
      <c r="AI36" s="219">
        <f t="shared" si="19"/>
        <v>0</v>
      </c>
      <c r="AJ36" s="219">
        <f t="shared" si="20"/>
        <v>0</v>
      </c>
      <c r="AK36" s="219">
        <f t="shared" si="21"/>
        <v>0</v>
      </c>
      <c r="AL36" s="219">
        <f t="shared" si="22"/>
        <v>0</v>
      </c>
      <c r="AM36" s="219">
        <f t="shared" si="23"/>
        <v>0</v>
      </c>
      <c r="AN36" s="301">
        <f t="shared" si="24"/>
        <v>0</v>
      </c>
      <c r="AO36" s="301">
        <f t="shared" si="25"/>
        <v>0</v>
      </c>
      <c r="AP36" s="301">
        <f t="shared" si="26"/>
        <v>0</v>
      </c>
      <c r="AQ36" s="301">
        <f t="shared" si="27"/>
        <v>0</v>
      </c>
      <c r="AR36" s="301">
        <f t="shared" si="28"/>
        <v>0</v>
      </c>
      <c r="AS36" s="301">
        <f t="shared" si="29"/>
        <v>0</v>
      </c>
      <c r="AT36" s="302">
        <f t="shared" si="30"/>
        <v>0</v>
      </c>
      <c r="AU36" s="302">
        <f t="shared" si="31"/>
        <v>0</v>
      </c>
      <c r="AV36" s="81">
        <f t="shared" si="32"/>
        <v>0</v>
      </c>
      <c r="AW36" s="82">
        <f t="shared" si="33"/>
        <v>0</v>
      </c>
      <c r="AX36" s="81">
        <f t="shared" si="34"/>
        <v>0</v>
      </c>
      <c r="AY36" s="83">
        <f t="shared" si="35"/>
        <v>0</v>
      </c>
      <c r="AZ36" s="83">
        <f t="shared" si="36"/>
        <v>0</v>
      </c>
      <c r="BA36" s="82">
        <f>IF(OR(B36=Feiertage!$A$16,B36=Feiertage!$A$19),U36*Zuschläge_24_31/100,IF(AZ36&gt;0,AZ36*Feiertag_mit/100,IF(AX36&gt;0,AX36*Zuschläge_Sa/100,IF(AY36&gt;0,AY36*Zuschlag_So/100,0))))</f>
        <v>0</v>
      </c>
      <c r="BB36" s="82">
        <f>IF(AND(B36&lt;&gt;0,G36=Voreinstellung_Übersicht!$D$41),IF(EG=1,W36*Über_klein/100,IF(EG=2,W36*Über_groß/100,"Fehler")),0)</f>
        <v>0</v>
      </c>
      <c r="BC36" s="299">
        <f t="shared" ca="1" si="41"/>
        <v>0</v>
      </c>
      <c r="BD36" s="219">
        <f t="shared" ca="1" si="37"/>
        <v>1</v>
      </c>
      <c r="BE36" s="303">
        <f ca="1">IF(B36="","",INDIRECT(ADDRESS(MATCH(B36,Soll_AZ,1)+MATCH("Arbeitszeit 1 ab",Voreinstellung_Übersicht!B:B,0)-1,4,,,"Voreinstellung_Übersicht"),TRUE))</f>
        <v>1.6666666666666665</v>
      </c>
      <c r="BF36" s="1">
        <f t="shared" si="42"/>
        <v>0</v>
      </c>
    </row>
    <row r="37" spans="1:104" s="1" customFormat="1" ht="15" x14ac:dyDescent="0.3">
      <c r="A37" s="218">
        <f t="shared" si="0"/>
        <v>31</v>
      </c>
      <c r="B37" s="47">
        <f t="shared" si="38"/>
        <v>42214</v>
      </c>
      <c r="C37" s="219">
        <f t="shared" si="1"/>
        <v>1</v>
      </c>
      <c r="D37" s="220" t="str">
        <f t="shared" si="2"/>
        <v/>
      </c>
      <c r="E37" s="298" t="str">
        <f t="shared" si="3"/>
        <v/>
      </c>
      <c r="F37" s="87">
        <f t="shared" si="4"/>
        <v>42214</v>
      </c>
      <c r="G37" s="147"/>
      <c r="H37" s="74"/>
      <c r="I37" s="75"/>
      <c r="J37" s="221">
        <f t="shared" si="5"/>
        <v>0</v>
      </c>
      <c r="K37" s="76"/>
      <c r="L37" s="221">
        <f t="shared" si="43"/>
        <v>0</v>
      </c>
      <c r="M37" s="74"/>
      <c r="N37" s="75"/>
      <c r="O37" s="221">
        <f t="shared" si="6"/>
        <v>0</v>
      </c>
      <c r="P37" s="76"/>
      <c r="Q37" s="221">
        <f t="shared" si="44"/>
        <v>0</v>
      </c>
      <c r="R37" s="221">
        <f t="shared" si="45"/>
        <v>0</v>
      </c>
      <c r="S37" s="221">
        <f t="shared" si="7"/>
        <v>0</v>
      </c>
      <c r="T37" s="79">
        <f t="shared" si="8"/>
        <v>0</v>
      </c>
      <c r="U37" s="79">
        <f t="shared" si="39"/>
        <v>0</v>
      </c>
      <c r="V37" s="80">
        <f t="shared" ca="1" si="9"/>
        <v>0.33333333329999998</v>
      </c>
      <c r="W37" s="249" t="str">
        <f t="shared" ca="1" si="10"/>
        <v/>
      </c>
      <c r="X37" s="293"/>
      <c r="Y37" s="221">
        <f t="shared" si="11"/>
        <v>0</v>
      </c>
      <c r="Z37" s="299">
        <f ca="1">IF(B37="","",INDIRECT(ADDRESS(MATCH(B37,Soll_AZ,1)+MATCH("Arbeitszeit 1 ab",Voreinstellung_Übersicht!B:B,0)-1,WEEKDAY(B37,2)+4,,,"Voreinstellung_Übersicht"),TRUE))</f>
        <v>0.33333333333333331</v>
      </c>
      <c r="AA37" s="300">
        <f t="shared" ca="1" si="40"/>
        <v>0</v>
      </c>
      <c r="AB37" s="219">
        <f t="shared" si="12"/>
        <v>0</v>
      </c>
      <c r="AC37" s="219">
        <f t="shared" si="13"/>
        <v>0</v>
      </c>
      <c r="AD37" s="219">
        <f t="shared" si="14"/>
        <v>0</v>
      </c>
      <c r="AE37" s="219">
        <f t="shared" si="15"/>
        <v>0</v>
      </c>
      <c r="AF37" s="219">
        <f t="shared" si="16"/>
        <v>0</v>
      </c>
      <c r="AG37" s="219">
        <f t="shared" si="17"/>
        <v>0</v>
      </c>
      <c r="AH37" s="219">
        <f t="shared" si="18"/>
        <v>0</v>
      </c>
      <c r="AI37" s="219">
        <f t="shared" si="19"/>
        <v>0</v>
      </c>
      <c r="AJ37" s="219">
        <f t="shared" si="20"/>
        <v>0</v>
      </c>
      <c r="AK37" s="219">
        <f t="shared" si="21"/>
        <v>0</v>
      </c>
      <c r="AL37" s="219">
        <f t="shared" si="22"/>
        <v>0</v>
      </c>
      <c r="AM37" s="219">
        <f t="shared" si="23"/>
        <v>0</v>
      </c>
      <c r="AN37" s="301">
        <f t="shared" si="24"/>
        <v>0</v>
      </c>
      <c r="AO37" s="301">
        <f t="shared" si="25"/>
        <v>0</v>
      </c>
      <c r="AP37" s="301">
        <f t="shared" si="26"/>
        <v>0</v>
      </c>
      <c r="AQ37" s="301">
        <f t="shared" si="27"/>
        <v>0</v>
      </c>
      <c r="AR37" s="301">
        <f t="shared" si="28"/>
        <v>0</v>
      </c>
      <c r="AS37" s="301">
        <f t="shared" si="29"/>
        <v>0</v>
      </c>
      <c r="AT37" s="302">
        <f t="shared" si="30"/>
        <v>0</v>
      </c>
      <c r="AU37" s="302">
        <f t="shared" si="31"/>
        <v>0</v>
      </c>
      <c r="AV37" s="81">
        <f t="shared" si="32"/>
        <v>0</v>
      </c>
      <c r="AW37" s="82">
        <f t="shared" si="33"/>
        <v>0</v>
      </c>
      <c r="AX37" s="81">
        <f t="shared" si="34"/>
        <v>0</v>
      </c>
      <c r="AY37" s="83">
        <f t="shared" si="35"/>
        <v>0</v>
      </c>
      <c r="AZ37" s="83">
        <f t="shared" si="36"/>
        <v>0</v>
      </c>
      <c r="BA37" s="82">
        <f>IF(OR(B37=Feiertage!$A$16,B37=Feiertage!$A$19),U37*Zuschläge_24_31/100,IF(AZ37&gt;0,AZ37*Feiertag_mit/100,IF(AX37&gt;0,AX37*Zuschläge_Sa/100,IF(AY37&gt;0,AY37*Zuschlag_So/100,0))))</f>
        <v>0</v>
      </c>
      <c r="BB37" s="82">
        <f>IF(AND(B37&lt;&gt;0,G37=Voreinstellung_Übersicht!$D$41),IF(EG=1,W37*Über_klein/100,IF(EG=2,W37*Über_groß/100,"Fehler")),0)</f>
        <v>0</v>
      </c>
      <c r="BC37" s="299">
        <f t="shared" ca="1" si="41"/>
        <v>0</v>
      </c>
      <c r="BD37" s="219">
        <f t="shared" ca="1" si="37"/>
        <v>1</v>
      </c>
      <c r="BE37" s="303">
        <f ca="1">IF(B37="","",INDIRECT(ADDRESS(MATCH(B37,Soll_AZ,1)+MATCH("Arbeitszeit 1 ab",Voreinstellung_Übersicht!B:B,0)-1,4,,,"Voreinstellung_Übersicht"),TRUE))</f>
        <v>1.6666666666666665</v>
      </c>
      <c r="BF37" s="1">
        <f t="shared" si="42"/>
        <v>0</v>
      </c>
    </row>
    <row r="38" spans="1:104" s="172" customFormat="1" ht="15" x14ac:dyDescent="0.3">
      <c r="A38" s="229">
        <f t="shared" si="0"/>
        <v>31</v>
      </c>
      <c r="B38" s="217">
        <f t="shared" si="38"/>
        <v>42215</v>
      </c>
      <c r="C38" s="230">
        <f t="shared" si="1"/>
        <v>1</v>
      </c>
      <c r="D38" s="231" t="str">
        <f t="shared" si="2"/>
        <v/>
      </c>
      <c r="E38" s="304" t="str">
        <f t="shared" si="3"/>
        <v/>
      </c>
      <c r="F38" s="216">
        <f t="shared" si="4"/>
        <v>42215</v>
      </c>
      <c r="G38" s="147"/>
      <c r="H38" s="77"/>
      <c r="I38" s="75"/>
      <c r="J38" s="221">
        <f t="shared" si="5"/>
        <v>0</v>
      </c>
      <c r="K38" s="76"/>
      <c r="L38" s="221">
        <f t="shared" si="43"/>
        <v>0</v>
      </c>
      <c r="M38" s="77"/>
      <c r="N38" s="215"/>
      <c r="O38" s="232">
        <f t="shared" si="6"/>
        <v>0</v>
      </c>
      <c r="P38" s="78"/>
      <c r="Q38" s="221">
        <f t="shared" si="44"/>
        <v>0</v>
      </c>
      <c r="R38" s="221">
        <f t="shared" si="45"/>
        <v>0</v>
      </c>
      <c r="S38" s="221">
        <f t="shared" si="7"/>
        <v>0</v>
      </c>
      <c r="T38" s="79">
        <f t="shared" si="8"/>
        <v>0</v>
      </c>
      <c r="U38" s="79">
        <f t="shared" si="39"/>
        <v>0</v>
      </c>
      <c r="V38" s="80">
        <f t="shared" ca="1" si="9"/>
        <v>0.33333333329999998</v>
      </c>
      <c r="W38" s="249" t="str">
        <f t="shared" ca="1" si="10"/>
        <v/>
      </c>
      <c r="X38" s="294"/>
      <c r="Y38" s="221">
        <f t="shared" si="11"/>
        <v>0</v>
      </c>
      <c r="Z38" s="299">
        <f ca="1">IF(B38="","",INDIRECT(ADDRESS(MATCH(B38,Soll_AZ,1)+MATCH("Arbeitszeit 1 ab",Voreinstellung_Übersicht!B:B,0)-1,WEEKDAY(B38,2)+4,,,"Voreinstellung_Übersicht"),TRUE))</f>
        <v>0.33333333333333331</v>
      </c>
      <c r="AA38" s="300">
        <f t="shared" ca="1" si="40"/>
        <v>0</v>
      </c>
      <c r="AB38" s="219">
        <f t="shared" si="12"/>
        <v>0</v>
      </c>
      <c r="AC38" s="219">
        <f t="shared" si="13"/>
        <v>0</v>
      </c>
      <c r="AD38" s="219">
        <f t="shared" si="14"/>
        <v>0</v>
      </c>
      <c r="AE38" s="219">
        <f t="shared" si="15"/>
        <v>0</v>
      </c>
      <c r="AF38" s="219">
        <f t="shared" si="16"/>
        <v>0</v>
      </c>
      <c r="AG38" s="219">
        <f t="shared" si="17"/>
        <v>0</v>
      </c>
      <c r="AH38" s="219">
        <f t="shared" si="18"/>
        <v>0</v>
      </c>
      <c r="AI38" s="219">
        <f t="shared" si="19"/>
        <v>0</v>
      </c>
      <c r="AJ38" s="219">
        <f t="shared" si="20"/>
        <v>0</v>
      </c>
      <c r="AK38" s="219">
        <f t="shared" si="21"/>
        <v>0</v>
      </c>
      <c r="AL38" s="219">
        <f t="shared" si="22"/>
        <v>0</v>
      </c>
      <c r="AM38" s="219">
        <f t="shared" si="23"/>
        <v>0</v>
      </c>
      <c r="AN38" s="301">
        <f t="shared" si="24"/>
        <v>0</v>
      </c>
      <c r="AO38" s="301">
        <f t="shared" si="25"/>
        <v>0</v>
      </c>
      <c r="AP38" s="301">
        <f t="shared" si="26"/>
        <v>0</v>
      </c>
      <c r="AQ38" s="301">
        <f t="shared" si="27"/>
        <v>0</v>
      </c>
      <c r="AR38" s="301">
        <f t="shared" si="28"/>
        <v>0</v>
      </c>
      <c r="AS38" s="301">
        <f t="shared" si="29"/>
        <v>0</v>
      </c>
      <c r="AT38" s="302">
        <f t="shared" si="30"/>
        <v>0</v>
      </c>
      <c r="AU38" s="302">
        <f t="shared" si="31"/>
        <v>0</v>
      </c>
      <c r="AV38" s="81">
        <f t="shared" si="32"/>
        <v>0</v>
      </c>
      <c r="AW38" s="82">
        <f t="shared" si="33"/>
        <v>0</v>
      </c>
      <c r="AX38" s="81">
        <f t="shared" si="34"/>
        <v>0</v>
      </c>
      <c r="AY38" s="212">
        <f t="shared" si="35"/>
        <v>0</v>
      </c>
      <c r="AZ38" s="212">
        <f t="shared" si="36"/>
        <v>0</v>
      </c>
      <c r="BA38" s="213">
        <f>IF(OR(B38=Feiertage!$A$16,B38=Feiertage!$A$19),U38*Zuschläge_24_31/100,IF(AZ38&gt;0,AZ38*Feiertag_mit/100,IF(AX38&gt;0,AX38*Zuschläge_Sa/100,IF(AY38&gt;0,AY38*Zuschlag_So/100,0))))</f>
        <v>0</v>
      </c>
      <c r="BB38" s="213">
        <f>IF(AND(B38&lt;&gt;0,G38=Voreinstellung_Übersicht!$D$41),IF(EG=1,W38*Über_klein/100,IF(EG=2,W38*Über_groß/100,"Fehler")),0)</f>
        <v>0</v>
      </c>
      <c r="BC38" s="305">
        <f t="shared" ca="1" si="41"/>
        <v>0</v>
      </c>
      <c r="BD38" s="219">
        <f t="shared" ca="1" si="37"/>
        <v>1</v>
      </c>
      <c r="BE38" s="306">
        <f ca="1">IF(B38="","",INDIRECT(ADDRESS(MATCH(B38,Soll_AZ,1)+MATCH("Arbeitszeit 1 ab",Voreinstellung_Übersicht!B:B,0)-1,4,,,"Voreinstellung_Übersicht"),TRUE))</f>
        <v>1.6666666666666665</v>
      </c>
      <c r="BF38" s="1">
        <f t="shared" si="42"/>
        <v>0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5" x14ac:dyDescent="0.25">
      <c r="A39" s="233"/>
      <c r="B39" s="233"/>
      <c r="C39" s="233"/>
      <c r="D39" s="233"/>
      <c r="E39" s="233"/>
      <c r="F39" s="488" t="s">
        <v>49</v>
      </c>
      <c r="G39" s="489"/>
      <c r="H39" s="482" t="s">
        <v>171</v>
      </c>
      <c r="I39" s="483"/>
      <c r="J39" s="307"/>
      <c r="K39" s="308">
        <f>AB39</f>
        <v>0</v>
      </c>
      <c r="L39" s="221"/>
      <c r="M39" s="206"/>
      <c r="N39" s="206"/>
      <c r="O39" s="221"/>
      <c r="P39" s="206"/>
      <c r="Q39" s="221"/>
      <c r="R39" s="221"/>
      <c r="S39" s="221"/>
      <c r="T39" s="479" t="s">
        <v>172</v>
      </c>
      <c r="U39" s="482" t="s">
        <v>171</v>
      </c>
      <c r="V39" s="483"/>
      <c r="W39" s="234">
        <f ca="1">Jun!W41</f>
        <v>0</v>
      </c>
      <c r="X39" s="309"/>
      <c r="Y39" s="221" t="s">
        <v>173</v>
      </c>
      <c r="Z39" s="299" t="s">
        <v>174</v>
      </c>
      <c r="AA39" s="300"/>
      <c r="AB39" s="219">
        <f>Jun!AB41</f>
        <v>0</v>
      </c>
      <c r="AC39" s="219">
        <f>Jun!AC41</f>
        <v>0</v>
      </c>
      <c r="AD39" s="219">
        <f>Jun!AD41</f>
        <v>0</v>
      </c>
      <c r="AE39" s="219">
        <f>Jun!AE41</f>
        <v>0</v>
      </c>
      <c r="AF39" s="219">
        <f>Jun!AF41</f>
        <v>0</v>
      </c>
      <c r="AG39" s="219">
        <f>Jun!AG41</f>
        <v>0</v>
      </c>
      <c r="AH39" s="219">
        <f>Jun!AH41</f>
        <v>0</v>
      </c>
      <c r="AI39" s="219">
        <f>Jun!AI41</f>
        <v>0</v>
      </c>
      <c r="AJ39" s="219">
        <f>Jun!AJ41</f>
        <v>0</v>
      </c>
      <c r="AK39" s="219">
        <f>Jun!AK41</f>
        <v>0</v>
      </c>
      <c r="AL39" s="219">
        <f>Jun!AL41</f>
        <v>0</v>
      </c>
      <c r="AM39" s="219">
        <f>Jun!AM41</f>
        <v>0</v>
      </c>
      <c r="AN39" s="301"/>
      <c r="AO39" s="301"/>
      <c r="AP39" s="301"/>
      <c r="AQ39" s="301"/>
      <c r="AR39" s="301"/>
      <c r="AS39" s="301"/>
      <c r="AT39" s="302"/>
      <c r="AU39" s="302"/>
      <c r="AV39" s="484" t="s">
        <v>176</v>
      </c>
      <c r="AW39" s="234">
        <f>Voreinstellung_Übersicht!H12</f>
        <v>0</v>
      </c>
      <c r="AX39" s="310">
        <f>IF(AZ_Konto,SUM(AW8:AW38),0)</f>
        <v>0</v>
      </c>
      <c r="AY39" s="311"/>
      <c r="AZ39" s="312"/>
      <c r="BA39" s="311">
        <f>IF(AZ_Konto,SUM(BA8:BA38),0)</f>
        <v>0</v>
      </c>
      <c r="BB39" s="311">
        <f>IF(AZ_Konto,SUM(BB8:BB38),0)</f>
        <v>0</v>
      </c>
      <c r="BC39" s="299">
        <f ca="1">BC38</f>
        <v>0</v>
      </c>
      <c r="BD39" s="219"/>
      <c r="BE39" s="303"/>
      <c r="BF39"/>
    </row>
    <row r="40" spans="1:104" ht="15" x14ac:dyDescent="0.25">
      <c r="A40" s="233"/>
      <c r="B40" s="233"/>
      <c r="C40" s="233"/>
      <c r="D40" s="233"/>
      <c r="E40" s="233"/>
      <c r="F40" s="488"/>
      <c r="G40" s="490"/>
      <c r="H40" s="482" t="s">
        <v>177</v>
      </c>
      <c r="I40" s="483"/>
      <c r="J40" s="235"/>
      <c r="K40" s="236">
        <f>-AB40</f>
        <v>0</v>
      </c>
      <c r="L40" s="221"/>
      <c r="M40" s="206"/>
      <c r="N40" s="206"/>
      <c r="O40" s="221"/>
      <c r="P40" s="206"/>
      <c r="Q40" s="221"/>
      <c r="R40" s="221"/>
      <c r="S40" s="221"/>
      <c r="T40" s="480"/>
      <c r="U40" s="482" t="s">
        <v>177</v>
      </c>
      <c r="V40" s="483"/>
      <c r="W40" s="237">
        <f ca="1">SUM(W8:W38)</f>
        <v>0</v>
      </c>
      <c r="X40" s="309"/>
      <c r="Y40" s="221">
        <f>SUM(Y8:Y38)</f>
        <v>0</v>
      </c>
      <c r="Z40" s="299">
        <f ca="1">SUM(Z8:Z38)</f>
        <v>7.6666666666666634</v>
      </c>
      <c r="AA40" s="300"/>
      <c r="AB40" s="219">
        <f t="shared" ref="AB40:AM40" si="46">SUM(AB8:AB38)</f>
        <v>0</v>
      </c>
      <c r="AC40" s="219">
        <f t="shared" si="46"/>
        <v>0</v>
      </c>
      <c r="AD40" s="219">
        <f t="shared" si="46"/>
        <v>0</v>
      </c>
      <c r="AE40" s="219">
        <f t="shared" si="46"/>
        <v>0</v>
      </c>
      <c r="AF40" s="219">
        <f t="shared" si="46"/>
        <v>0</v>
      </c>
      <c r="AG40" s="219">
        <f t="shared" si="46"/>
        <v>0</v>
      </c>
      <c r="AH40" s="219">
        <f t="shared" si="46"/>
        <v>0</v>
      </c>
      <c r="AI40" s="219">
        <f t="shared" si="46"/>
        <v>0</v>
      </c>
      <c r="AJ40" s="219">
        <f t="shared" si="46"/>
        <v>0</v>
      </c>
      <c r="AK40" s="219">
        <f t="shared" si="46"/>
        <v>0</v>
      </c>
      <c r="AL40" s="219">
        <f t="shared" si="46"/>
        <v>0</v>
      </c>
      <c r="AM40" s="219">
        <f t="shared" si="46"/>
        <v>0</v>
      </c>
      <c r="AN40" s="301"/>
      <c r="AO40" s="301"/>
      <c r="AP40" s="301"/>
      <c r="AQ40" s="301"/>
      <c r="AR40" s="301"/>
      <c r="AS40" s="301"/>
      <c r="AT40" s="302"/>
      <c r="AU40" s="302"/>
      <c r="AV40" s="485"/>
      <c r="AW40" s="237" t="str">
        <f>IF(SUM(AX39,BA39,BB39)&gt;0,SUM(AX39,BA39,BB39),"")</f>
        <v/>
      </c>
      <c r="AX40" s="313"/>
      <c r="AY40" s="313"/>
      <c r="AZ40" s="313"/>
      <c r="BA40" s="313"/>
      <c r="BB40" s="313"/>
      <c r="BC40" s="299"/>
      <c r="BD40" s="219"/>
      <c r="BE40" s="303"/>
      <c r="BF40"/>
    </row>
    <row r="41" spans="1:104" ht="15" x14ac:dyDescent="0.25">
      <c r="A41" s="233"/>
      <c r="B41" s="233"/>
      <c r="C41" s="233"/>
      <c r="D41" s="233"/>
      <c r="E41" s="233"/>
      <c r="F41" s="491"/>
      <c r="G41" s="492"/>
      <c r="H41" s="482" t="s">
        <v>178</v>
      </c>
      <c r="I41" s="483"/>
      <c r="J41" s="238"/>
      <c r="K41" s="239">
        <f>AB41</f>
        <v>0</v>
      </c>
      <c r="L41" s="221"/>
      <c r="M41" s="206"/>
      <c r="N41" s="206"/>
      <c r="O41" s="221"/>
      <c r="P41" s="206"/>
      <c r="Q41" s="221"/>
      <c r="R41" s="221"/>
      <c r="S41" s="221"/>
      <c r="T41" s="481"/>
      <c r="U41" s="482" t="s">
        <v>178</v>
      </c>
      <c r="V41" s="483"/>
      <c r="W41" s="240">
        <f ca="1">SUM(W39:W40)</f>
        <v>0</v>
      </c>
      <c r="X41" s="309"/>
      <c r="Y41" s="221"/>
      <c r="Z41" s="299"/>
      <c r="AA41" s="300"/>
      <c r="AB41" s="219">
        <f>AB39-AB40</f>
        <v>0</v>
      </c>
      <c r="AC41" s="219">
        <f t="shared" ref="AC41:AM41" si="47">SUM(AC39:AC40)</f>
        <v>0</v>
      </c>
      <c r="AD41" s="219">
        <f t="shared" si="47"/>
        <v>0</v>
      </c>
      <c r="AE41" s="219">
        <f t="shared" si="47"/>
        <v>0</v>
      </c>
      <c r="AF41" s="219">
        <f t="shared" si="47"/>
        <v>0</v>
      </c>
      <c r="AG41" s="219">
        <f t="shared" si="47"/>
        <v>0</v>
      </c>
      <c r="AH41" s="219">
        <f t="shared" si="47"/>
        <v>0</v>
      </c>
      <c r="AI41" s="219">
        <f t="shared" si="47"/>
        <v>0</v>
      </c>
      <c r="AJ41" s="219">
        <f t="shared" si="47"/>
        <v>0</v>
      </c>
      <c r="AK41" s="219">
        <f t="shared" si="47"/>
        <v>0</v>
      </c>
      <c r="AL41" s="219">
        <f t="shared" si="47"/>
        <v>0</v>
      </c>
      <c r="AM41" s="219">
        <f t="shared" si="47"/>
        <v>0</v>
      </c>
      <c r="AN41" s="301"/>
      <c r="AO41" s="301"/>
      <c r="AP41" s="301"/>
      <c r="AQ41" s="301"/>
      <c r="AR41" s="301"/>
      <c r="AS41" s="301"/>
      <c r="AT41" s="302"/>
      <c r="AU41" s="302"/>
      <c r="AV41" s="486"/>
      <c r="AW41" s="240">
        <f>SUM(AW39:AW40)</f>
        <v>0</v>
      </c>
      <c r="AX41" s="314"/>
      <c r="AY41" s="314"/>
      <c r="AZ41" s="314"/>
      <c r="BA41" s="314"/>
      <c r="BB41" s="314"/>
      <c r="BC41" s="299"/>
      <c r="BD41" s="219"/>
      <c r="BE41" s="303"/>
      <c r="BF41"/>
    </row>
    <row r="42" spans="1:104" s="1" customFormat="1" ht="15" x14ac:dyDescent="0.3">
      <c r="A42" s="88"/>
      <c r="B42" s="47"/>
      <c r="C42" s="6"/>
      <c r="D42" s="89"/>
      <c r="E42" s="90"/>
      <c r="F42" s="487" t="s">
        <v>179</v>
      </c>
      <c r="G42" s="487"/>
      <c r="H42" s="487"/>
      <c r="I42" s="487"/>
      <c r="J42" s="347"/>
      <c r="K42" s="186">
        <f>NETWORKDAYS(B8,B38,Feiertage)</f>
        <v>23</v>
      </c>
      <c r="L42" s="331"/>
      <c r="M42" s="330"/>
      <c r="N42" s="330"/>
      <c r="O42" s="331"/>
      <c r="P42" s="330"/>
      <c r="Q42" s="331"/>
      <c r="R42" s="331"/>
      <c r="S42" s="331"/>
      <c r="T42" s="332"/>
      <c r="U42" s="332"/>
      <c r="V42" s="332"/>
      <c r="W42" s="332"/>
      <c r="X42" s="333"/>
      <c r="Y42" s="331"/>
      <c r="Z42" s="334"/>
      <c r="AA42" s="335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7"/>
      <c r="AO42" s="337"/>
      <c r="AP42" s="337"/>
      <c r="AQ42" s="337"/>
      <c r="AR42" s="337"/>
      <c r="AS42" s="337"/>
      <c r="AT42" s="338"/>
      <c r="AU42" s="338"/>
      <c r="AV42" s="339"/>
      <c r="AW42" s="340"/>
      <c r="AX42" s="83"/>
      <c r="AY42" s="83"/>
      <c r="AZ42" s="83"/>
      <c r="BA42" s="173"/>
      <c r="BB42" s="173"/>
      <c r="BC42" s="15"/>
      <c r="BD42" s="6"/>
      <c r="BE42" s="169"/>
    </row>
    <row r="43" spans="1:104" s="1" customFormat="1" ht="15" x14ac:dyDescent="0.3">
      <c r="A43" s="11"/>
      <c r="B43" s="47"/>
      <c r="C43" s="6"/>
      <c r="D43" s="6"/>
      <c r="E43" s="12"/>
      <c r="F43" s="487" t="s">
        <v>180</v>
      </c>
      <c r="G43" s="487"/>
      <c r="H43" s="487"/>
      <c r="I43" s="487"/>
      <c r="J43" s="348"/>
      <c r="K43" s="186">
        <f>SUM(BF8:BF38)</f>
        <v>0</v>
      </c>
      <c r="L43" s="336"/>
      <c r="M43" s="341"/>
      <c r="N43" s="341"/>
      <c r="O43" s="336"/>
      <c r="P43" s="341"/>
      <c r="Q43" s="336"/>
      <c r="R43" s="336"/>
      <c r="S43" s="336"/>
      <c r="T43" s="341"/>
      <c r="U43" s="341"/>
      <c r="V43" s="341"/>
      <c r="W43" s="341"/>
      <c r="X43" s="342"/>
      <c r="Y43" s="331"/>
      <c r="Z43" s="343"/>
      <c r="AA43" s="344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45"/>
      <c r="AO43" s="336"/>
      <c r="AP43" s="336"/>
      <c r="AQ43" s="336"/>
      <c r="AR43" s="336"/>
      <c r="AS43" s="336"/>
      <c r="AT43" s="346"/>
      <c r="AU43" s="346"/>
      <c r="AV43" s="341"/>
      <c r="AW43" s="341"/>
      <c r="AX43" s="26"/>
      <c r="AY43" s="26"/>
      <c r="AZ43" s="26"/>
      <c r="BA43" s="26"/>
      <c r="BC43" s="6"/>
      <c r="BD43" s="6"/>
      <c r="BE43" s="6"/>
    </row>
    <row r="46" spans="1:104" x14ac:dyDescent="0.3">
      <c r="A46" s="11"/>
      <c r="B46" s="47"/>
      <c r="C46" s="6"/>
      <c r="D46" s="6"/>
      <c r="E46" s="12"/>
      <c r="F46" s="329"/>
      <c r="G46" s="329"/>
      <c r="H46" s="341"/>
      <c r="I46" s="341"/>
      <c r="J46" s="336"/>
      <c r="K46" s="341"/>
      <c r="L46" s="336"/>
      <c r="M46" s="341"/>
      <c r="N46" s="341"/>
      <c r="O46" s="336"/>
      <c r="P46" s="341"/>
      <c r="Q46" s="336"/>
      <c r="R46" s="336"/>
      <c r="S46" s="336"/>
      <c r="T46" s="341"/>
      <c r="U46" s="341"/>
      <c r="V46" s="341"/>
      <c r="W46" s="341"/>
      <c r="X46" s="342"/>
      <c r="Y46" s="331"/>
      <c r="Z46" s="343"/>
      <c r="AA46" s="344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45"/>
      <c r="AO46" s="336"/>
      <c r="AP46" s="336"/>
      <c r="AQ46" s="336"/>
      <c r="AR46" s="336"/>
      <c r="AS46" s="336"/>
      <c r="AT46" s="346"/>
      <c r="AU46" s="346"/>
      <c r="AV46" s="341"/>
      <c r="AW46" s="341"/>
      <c r="AX46" s="26"/>
      <c r="AY46" s="26"/>
      <c r="AZ46" s="26"/>
      <c r="BA46" s="26"/>
      <c r="BB46" s="1"/>
      <c r="BC46" s="6"/>
      <c r="BD46" s="6"/>
      <c r="BE46" s="6"/>
      <c r="BG46" s="1"/>
    </row>
    <row r="47" spans="1:104" x14ac:dyDescent="0.3">
      <c r="A47" s="11"/>
      <c r="B47" s="47"/>
      <c r="C47" s="6"/>
      <c r="D47" s="6"/>
      <c r="E47" s="12"/>
      <c r="F47" s="329"/>
      <c r="G47" s="329"/>
      <c r="H47" s="341"/>
      <c r="I47" s="341"/>
      <c r="J47" s="336"/>
      <c r="K47" s="341"/>
      <c r="L47" s="336"/>
      <c r="M47" s="341"/>
      <c r="N47" s="341"/>
      <c r="O47" s="336"/>
      <c r="P47" s="341"/>
      <c r="Q47" s="336"/>
      <c r="R47" s="336"/>
      <c r="S47" s="336"/>
      <c r="T47" s="341"/>
      <c r="U47" s="341"/>
      <c r="V47" s="341"/>
      <c r="W47" s="341"/>
      <c r="X47" s="342"/>
      <c r="Y47" s="331"/>
      <c r="Z47" s="343"/>
      <c r="AA47" s="344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45"/>
      <c r="AO47" s="336"/>
      <c r="AP47" s="336"/>
      <c r="AQ47" s="336"/>
      <c r="AR47" s="336"/>
      <c r="AS47" s="336"/>
      <c r="AT47" s="346"/>
      <c r="AU47" s="346"/>
      <c r="AV47" s="341"/>
      <c r="AW47" s="341"/>
      <c r="AX47" s="26"/>
      <c r="AY47" s="26"/>
      <c r="AZ47" s="26"/>
      <c r="BA47" s="26"/>
      <c r="BB47" s="1"/>
      <c r="BC47" s="6"/>
      <c r="BD47" s="6"/>
      <c r="BE47" s="6"/>
      <c r="BG47" s="1"/>
    </row>
    <row r="48" spans="1:104" x14ac:dyDescent="0.3">
      <c r="A48" s="11"/>
      <c r="B48" s="47"/>
      <c r="C48" s="6"/>
      <c r="D48" s="6"/>
      <c r="E48" s="12"/>
      <c r="F48" s="329"/>
      <c r="G48" s="329"/>
      <c r="H48" s="341"/>
      <c r="I48" s="341"/>
      <c r="J48" s="336"/>
      <c r="K48" s="341"/>
      <c r="L48" s="336"/>
      <c r="M48" s="341"/>
      <c r="N48" s="341"/>
      <c r="O48" s="336"/>
      <c r="P48" s="341"/>
      <c r="Q48" s="336"/>
      <c r="R48" s="336"/>
      <c r="S48" s="336"/>
      <c r="T48" s="341"/>
      <c r="U48" s="341"/>
      <c r="V48" s="341"/>
      <c r="W48" s="341"/>
      <c r="X48" s="342"/>
      <c r="Y48" s="331"/>
      <c r="Z48" s="343"/>
      <c r="AA48" s="344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45"/>
      <c r="AO48" s="336"/>
      <c r="AP48" s="336"/>
      <c r="AQ48" s="336"/>
      <c r="AR48" s="336"/>
      <c r="AS48" s="336"/>
      <c r="AT48" s="346"/>
      <c r="AU48" s="346"/>
      <c r="AV48" s="341"/>
      <c r="AW48" s="341"/>
      <c r="AX48" s="26"/>
      <c r="AY48" s="26"/>
      <c r="AZ48" s="26"/>
      <c r="BA48" s="26"/>
      <c r="BB48" s="1"/>
      <c r="BC48" s="6"/>
      <c r="BD48" s="6"/>
      <c r="BE48" s="6"/>
      <c r="BG48" s="1"/>
    </row>
  </sheetData>
  <sheetProtection algorithmName="SHA-512" hashValue="OqBC8n9kFPFIpPe8m1/qwcBLFgqTYK1JXp+iRPCJyXJpUKJJ6yf+84Kw7EyGmyRfzC5NQ6wSRK99+LMMJiAq2g==" saltValue="uxCkX1KkoQ2ouI7oXIeMqQ==" spinCount="100000" sheet="1" objects="1" scenarios="1" formatCells="0" selectLockedCells="1"/>
  <mergeCells count="26">
    <mergeCell ref="F42:I42"/>
    <mergeCell ref="F43:I43"/>
    <mergeCell ref="AX6:BA6"/>
    <mergeCell ref="F39:G41"/>
    <mergeCell ref="H39:I39"/>
    <mergeCell ref="T39:T41"/>
    <mergeCell ref="U39:V39"/>
    <mergeCell ref="H40:I40"/>
    <mergeCell ref="U40:V40"/>
    <mergeCell ref="H41:I41"/>
    <mergeCell ref="U41:V41"/>
    <mergeCell ref="H6:P6"/>
    <mergeCell ref="AA3:AA6"/>
    <mergeCell ref="AN6:AS6"/>
    <mergeCell ref="AT6:AU6"/>
    <mergeCell ref="AV6:AW6"/>
    <mergeCell ref="F6:F7"/>
    <mergeCell ref="AV39:AV41"/>
    <mergeCell ref="G6:G7"/>
    <mergeCell ref="AN2:AS4"/>
    <mergeCell ref="AT2:AU4"/>
    <mergeCell ref="E2:G2"/>
    <mergeCell ref="H2:I2"/>
    <mergeCell ref="E3:G3"/>
    <mergeCell ref="H3:I3"/>
    <mergeCell ref="E4:G4"/>
  </mergeCells>
  <conditionalFormatting sqref="B7:E7 B8:F39 B40:E41 B5:F6">
    <cfRule type="expression" dxfId="129" priority="15">
      <formula>AND($C5=0,NOT($C5=""))</formula>
    </cfRule>
  </conditionalFormatting>
  <conditionalFormatting sqref="B6:F6 B7:E7 BB6:BB41 B39:F39 B40:E41 H39:H41 J39:U39 J40:S41 U40:U41 W40:AU41 AW40:BA41 F41:G41 I41 T41 V41 AV41 B8:BA38 H6:BA7 B5:BA5 W39:BA39">
    <cfRule type="expression" dxfId="128" priority="16">
      <formula>AND($C5=0,NOT($C5=""))</formula>
    </cfRule>
  </conditionalFormatting>
  <conditionalFormatting sqref="G6 BC8:BC37">
    <cfRule type="expression" dxfId="127" priority="20">
      <formula>AND($C7=0,NOT($C7=""))</formula>
    </cfRule>
  </conditionalFormatting>
  <conditionalFormatting sqref="BC38:BC41">
    <cfRule type="expression" dxfId="126" priority="21">
      <formula>AND(#REF!=0,NOT(#REF!=""))</formula>
    </cfRule>
  </conditionalFormatting>
  <conditionalFormatting sqref="W8:X41 BC8:BD41">
    <cfRule type="expression" dxfId="125" priority="12">
      <formula>$BD8=3</formula>
    </cfRule>
    <cfRule type="expression" dxfId="124" priority="13">
      <formula>$BD8=2</formula>
    </cfRule>
  </conditionalFormatting>
  <conditionalFormatting sqref="W8:W41 BC8:BD41">
    <cfRule type="expression" dxfId="123" priority="14">
      <formula>$BD8=1</formula>
    </cfRule>
  </conditionalFormatting>
  <conditionalFormatting sqref="A8:BB38">
    <cfRule type="expression" dxfId="122" priority="11">
      <formula>$R$1=TRUE</formula>
    </cfRule>
  </conditionalFormatting>
  <conditionalFormatting sqref="B1:F4">
    <cfRule type="expression" dxfId="121" priority="7">
      <formula>AND($C1=0,NOT($C1=""))</formula>
    </cfRule>
  </conditionalFormatting>
  <conditionalFormatting sqref="B1:BA4">
    <cfRule type="expression" dxfId="120" priority="8">
      <formula>AND($C1=0,NOT($C1=""))</formula>
    </cfRule>
  </conditionalFormatting>
  <conditionalFormatting sqref="B42:F42">
    <cfRule type="expression" dxfId="119" priority="4">
      <formula>AND($C42=0,NOT($C42=""))</formula>
    </cfRule>
  </conditionalFormatting>
  <conditionalFormatting sqref="BB42">
    <cfRule type="expression" dxfId="118" priority="5">
      <formula>AND($C42=0,NOT($C42=""))</formula>
    </cfRule>
  </conditionalFormatting>
  <conditionalFormatting sqref="BC42">
    <cfRule type="expression" dxfId="117" priority="6">
      <formula>AND(#REF!=0,NOT(#REF!=""))</formula>
    </cfRule>
  </conditionalFormatting>
  <conditionalFormatting sqref="BC42:BD42">
    <cfRule type="expression" dxfId="116" priority="1">
      <formula>$BD42=3</formula>
    </cfRule>
    <cfRule type="expression" dxfId="115" priority="2">
      <formula>$BD42=2</formula>
    </cfRule>
  </conditionalFormatting>
  <conditionalFormatting sqref="BC42:BD42">
    <cfRule type="expression" dxfId="114" priority="3">
      <formula>$BD42=1</formula>
    </cfRule>
  </conditionalFormatting>
  <dataValidations count="2">
    <dataValidation type="list" allowBlank="1" showInputMessage="1" showErrorMessage="1" sqref="G8:G38">
      <formula1>Code_Liste</formula1>
    </dataValidation>
    <dataValidation type="time" allowBlank="1" showInputMessage="1" showErrorMessage="1" sqref="H8:I12 K8:K12">
      <formula1>$R$6</formula1>
      <formula2>$S$6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stopIfTrue="1" id="{DEB2E893-F800-4926-A6F8-2EA82C46D446}">
            <xm:f>Voreinstellung_Übersicht!$R$14=3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19" stopIfTrue="1" id="{906AEED4-E71B-487A-8901-23A60D9364EC}">
            <xm:f>Voreinstellung_Übersicht!$R$14=2</xm:f>
            <x14:dxf>
              <fill>
                <patternFill>
                  <bgColor rgb="FFFFC000"/>
                </patternFill>
              </fill>
            </x14:dxf>
          </x14:cfRule>
          <xm:sqref>W7:X41</xm:sqref>
        </x14:conditionalFormatting>
        <x14:conditionalFormatting xmlns:xm="http://schemas.microsoft.com/office/excel/2006/main">
          <x14:cfRule type="expression" priority="17" stopIfTrue="1" id="{85A77723-0E18-4D87-95E9-24AC614340E3}">
            <xm:f>Voreinstellung_Übersicht!$R$14=1</xm:f>
            <x14:dxf>
              <fill>
                <patternFill>
                  <bgColor theme="9" tint="0.59996337778862885"/>
                </patternFill>
              </fill>
            </x14:dxf>
          </x14:cfRule>
          <xm:sqref>W7:W41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mme xmlns="61ab5a21-b7f9-4c84-9c94-2a4b5a3ee7aa">
      <UserInfo>
        <DisplayName/>
        <AccountId xsi:nil="true"/>
        <AccountType/>
      </UserInfo>
    </Nam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815B43D2CDEE4CBEED3C40CC2A21C8" ma:contentTypeVersion="1" ma:contentTypeDescription="Ein neues Dokument erstellen." ma:contentTypeScope="" ma:versionID="4d7339739e7431aab5af25dd74760949">
  <xsd:schema xmlns:xsd="http://www.w3.org/2001/XMLSchema" xmlns:xs="http://www.w3.org/2001/XMLSchema" xmlns:p="http://schemas.microsoft.com/office/2006/metadata/properties" xmlns:ns3="61ab5a21-b7f9-4c84-9c94-2a4b5a3ee7aa" targetNamespace="http://schemas.microsoft.com/office/2006/metadata/properties" ma:root="true" ma:fieldsID="6cd857b5b51b9494b392616eb489fb1d" ns3:_="">
    <xsd:import namespace="61ab5a21-b7f9-4c84-9c94-2a4b5a3ee7aa"/>
    <xsd:element name="properties">
      <xsd:complexType>
        <xsd:sequence>
          <xsd:element name="documentManagement">
            <xsd:complexType>
              <xsd:all>
                <xsd:element ref="ns3:Nam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5a21-b7f9-4c84-9c94-2a4b5a3ee7aa" elementFormDefault="qualified">
    <xsd:import namespace="http://schemas.microsoft.com/office/2006/documentManagement/types"/>
    <xsd:import namespace="http://schemas.microsoft.com/office/infopath/2007/PartnerControls"/>
    <xsd:element name="Namme" ma:index="8" nillable="true" ma:displayName="Namme" ma:list="UserInfo" ma:SharePointGroup="0" ma:internalName="Nam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5A643D-607F-45FE-A531-B3D2180644B8}">
  <ds:schemaRefs>
    <ds:schemaRef ds:uri="http://schemas.microsoft.com/office/2006/metadata/properties"/>
    <ds:schemaRef ds:uri="http://schemas.microsoft.com/office/infopath/2007/PartnerControls"/>
    <ds:schemaRef ds:uri="61ab5a21-b7f9-4c84-9c94-2a4b5a3ee7aa"/>
  </ds:schemaRefs>
</ds:datastoreItem>
</file>

<file path=customXml/itemProps2.xml><?xml version="1.0" encoding="utf-8"?>
<ds:datastoreItem xmlns:ds="http://schemas.openxmlformats.org/officeDocument/2006/customXml" ds:itemID="{8E292AAC-EF79-4CC2-B500-2F2098E0F2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9E618A-EE5C-46CF-B965-8B27185141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ab5a21-b7f9-4c84-9c94-2a4b5a3ee7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80</vt:i4>
      </vt:variant>
    </vt:vector>
  </HeadingPairs>
  <TitlesOfParts>
    <vt:vector size="96" baseType="lpstr">
      <vt:lpstr>Voreinstellung_Übersicht</vt:lpstr>
      <vt:lpstr>Feiertage</vt:lpstr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  <vt:lpstr>Übersicht</vt:lpstr>
      <vt:lpstr>Zuschläge</vt:lpstr>
      <vt:lpstr>Arbeitszeit_gesamt</vt:lpstr>
      <vt:lpstr>AZ_Apr</vt:lpstr>
      <vt:lpstr>AZ_Aug</vt:lpstr>
      <vt:lpstr>AZ_Dez</vt:lpstr>
      <vt:lpstr>AZ_Feb</vt:lpstr>
      <vt:lpstr>AZ_Guthaben</vt:lpstr>
      <vt:lpstr>AZ_Jan</vt:lpstr>
      <vt:lpstr>AZ_Jul</vt:lpstr>
      <vt:lpstr>AZ_Jun</vt:lpstr>
      <vt:lpstr>AZ_Konto</vt:lpstr>
      <vt:lpstr>AZ_Mai</vt:lpstr>
      <vt:lpstr>AZ_Mrz</vt:lpstr>
      <vt:lpstr>AZ_Nov</vt:lpstr>
      <vt:lpstr>AZ_Okt</vt:lpstr>
      <vt:lpstr>AZ_Sep</vt:lpstr>
      <vt:lpstr>AZ_Übertrag</vt:lpstr>
      <vt:lpstr>AZK_Übertrag</vt:lpstr>
      <vt:lpstr>Code</vt:lpstr>
      <vt:lpstr>Code_Liste</vt:lpstr>
      <vt:lpstr>DR_gesamt</vt:lpstr>
      <vt:lpstr>Apr!Druckbereich</vt:lpstr>
      <vt:lpstr>Aug!Druckbereich</vt:lpstr>
      <vt:lpstr>Dez!Druckbereich</vt:lpstr>
      <vt:lpstr>Feb!Druckbereich</vt:lpstr>
      <vt:lpstr>Jan!Druckbereich</vt:lpstr>
      <vt:lpstr>Jul!Druckbereich</vt:lpstr>
      <vt:lpstr>Jun!Druckbereich</vt:lpstr>
      <vt:lpstr>Mai!Druckbereich</vt:lpstr>
      <vt:lpstr>Mrz!Druckbereich</vt:lpstr>
      <vt:lpstr>Nov!Druckbereich</vt:lpstr>
      <vt:lpstr>Okt!Druckbereich</vt:lpstr>
      <vt:lpstr>Sep!Druckbereich</vt:lpstr>
      <vt:lpstr>Übersicht!Druckbereich</vt:lpstr>
      <vt:lpstr>Zuschläge!Druckbereich</vt:lpstr>
      <vt:lpstr>Übersicht!Drucktitel</vt:lpstr>
      <vt:lpstr>EG</vt:lpstr>
      <vt:lpstr>Feiertag_mit</vt:lpstr>
      <vt:lpstr>Feiertag_ohne</vt:lpstr>
      <vt:lpstr>Feiertage</vt:lpstr>
      <vt:lpstr>Feiertage_ganz</vt:lpstr>
      <vt:lpstr>Geburtstag</vt:lpstr>
      <vt:lpstr>gelb_minus</vt:lpstr>
      <vt:lpstr>gelb_plus</vt:lpstr>
      <vt:lpstr>gesamt_29_1</vt:lpstr>
      <vt:lpstr>gesamt_29_2</vt:lpstr>
      <vt:lpstr>gesamt_29_3</vt:lpstr>
      <vt:lpstr>gesamt_29_4</vt:lpstr>
      <vt:lpstr>grün_minus</vt:lpstr>
      <vt:lpstr>grün_plus</vt:lpstr>
      <vt:lpstr>Jahr</vt:lpstr>
      <vt:lpstr>K_gesamt</vt:lpstr>
      <vt:lpstr>KK_gesamt</vt:lpstr>
      <vt:lpstr>Krank_gesamt</vt:lpstr>
      <vt:lpstr>Kur_gesamt</vt:lpstr>
      <vt:lpstr>Legende_Code</vt:lpstr>
      <vt:lpstr>mEg_gesamt</vt:lpstr>
      <vt:lpstr>Nacht_22</vt:lpstr>
      <vt:lpstr>Nacht_6</vt:lpstr>
      <vt:lpstr>Name</vt:lpstr>
      <vt:lpstr>Pause_6</vt:lpstr>
      <vt:lpstr>Pause_6p</vt:lpstr>
      <vt:lpstr>Pause_9</vt:lpstr>
      <vt:lpstr>Pause_9p</vt:lpstr>
      <vt:lpstr>Personalnummer</vt:lpstr>
      <vt:lpstr>RestUrlaub</vt:lpstr>
      <vt:lpstr>rot_minus</vt:lpstr>
      <vt:lpstr>rot_plus</vt:lpstr>
      <vt:lpstr>Samstagszuschlag</vt:lpstr>
      <vt:lpstr>Soll_AZ</vt:lpstr>
      <vt:lpstr>Struktureinheit</vt:lpstr>
      <vt:lpstr>Struktureinheiten_Liste</vt:lpstr>
      <vt:lpstr>Über_groß</vt:lpstr>
      <vt:lpstr>Über_klein</vt:lpstr>
      <vt:lpstr>Übertrag_Mehrarbeit</vt:lpstr>
      <vt:lpstr>Urlaub_Vorjahr</vt:lpstr>
      <vt:lpstr>WB_gesam</vt:lpstr>
      <vt:lpstr>Zuschlag_Nacht</vt:lpstr>
      <vt:lpstr>Zuschlag_So</vt:lpstr>
      <vt:lpstr>Zuschläge_24_31</vt:lpstr>
      <vt:lpstr>Zuschläge_Sa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Pritzkow</dc:creator>
  <cp:keywords/>
  <dc:description/>
  <cp:lastModifiedBy>Angela Einert</cp:lastModifiedBy>
  <cp:revision/>
  <dcterms:created xsi:type="dcterms:W3CDTF">2018-06-26T12:16:58Z</dcterms:created>
  <dcterms:modified xsi:type="dcterms:W3CDTF">2020-07-02T06:49:34Z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0x010100EC815B43D2CDEE4CBEED3C40CC2A21C8</vt:lpwstr>
  </property>
  <property fmtid="{D5CDD505-2E9C-101B-9397-08002B2CF9AE}" pid="3" name="IsMyDocuments">
    <vt:bool>true</vt:bool>
  </property>
</Properties>
</file>